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417\"/>
    </mc:Choice>
  </mc:AlternateContent>
  <xr:revisionPtr revIDLastSave="0" documentId="13_ncr:1_{99436BC9-F2CB-4560-82BA-06ADA9A2C935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3">เชียงใหม่!$1:$6</definedName>
    <definedName name="_xlnm.Print_Titles" localSheetId="2">เชียงราย!$1:$6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1">กำแพงเพชร!$1:$6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35" i="18" l="1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2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K473" i="18" s="1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O459" i="18" s="1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O330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O311" i="18"/>
  <c r="N311" i="18"/>
  <c r="M311" i="18"/>
  <c r="P311" i="18" s="1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P291" i="18"/>
  <c r="O291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N272" i="18"/>
  <c r="M272" i="18"/>
  <c r="L272" i="18"/>
  <c r="O272" i="18" s="1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N251" i="18"/>
  <c r="M251" i="18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N221" i="18"/>
  <c r="M221" i="18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N141" i="18"/>
  <c r="M141" i="18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N119" i="18"/>
  <c r="M119" i="18"/>
  <c r="L119" i="18"/>
  <c r="O119" i="18" s="1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N95" i="18"/>
  <c r="M95" i="18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O69" i="18"/>
  <c r="N67" i="18"/>
  <c r="M67" i="18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N54" i="18"/>
  <c r="M54" i="18"/>
  <c r="L54" i="18"/>
  <c r="N49" i="18"/>
  <c r="L49" i="18"/>
  <c r="L47" i="18"/>
  <c r="L46" i="18"/>
  <c r="N45" i="18"/>
  <c r="M45" i="18"/>
  <c r="M43" i="18" s="1"/>
  <c r="N42" i="18"/>
  <c r="M42" i="18"/>
  <c r="L42" i="18"/>
  <c r="O42" i="18" s="1"/>
  <c r="P36" i="18"/>
  <c r="O36" i="18"/>
  <c r="P35" i="18"/>
  <c r="O35" i="18"/>
  <c r="P34" i="18"/>
  <c r="M34" i="18"/>
  <c r="M33" i="18"/>
  <c r="P33" i="18" s="1"/>
  <c r="M32" i="18"/>
  <c r="P32" i="18" s="1"/>
  <c r="P31" i="18"/>
  <c r="M31" i="18"/>
  <c r="M29" i="18" s="1"/>
  <c r="M30" i="18"/>
  <c r="P30" i="18" s="1"/>
  <c r="P25" i="18"/>
  <c r="O25" i="18"/>
  <c r="N25" i="18"/>
  <c r="M25" i="18"/>
  <c r="L25" i="18"/>
  <c r="N24" i="18"/>
  <c r="M24" i="18"/>
  <c r="N23" i="18"/>
  <c r="M23" i="18"/>
  <c r="P23" i="18" s="1"/>
  <c r="N21" i="18"/>
  <c r="M21" i="18"/>
  <c r="M19" i="18" s="1"/>
  <c r="L21" i="18"/>
  <c r="N19" i="18"/>
  <c r="N15" i="18"/>
  <c r="M15" i="18"/>
  <c r="P15" i="18" s="1"/>
  <c r="L15" i="18"/>
  <c r="O15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N330" i="17"/>
  <c r="M330" i="17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P312" i="17" s="1"/>
  <c r="O313" i="17"/>
  <c r="O311" i="17"/>
  <c r="N311" i="17"/>
  <c r="M311" i="17"/>
  <c r="P311" i="17" s="1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P291" i="17"/>
  <c r="N291" i="17"/>
  <c r="M291" i="17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N272" i="17"/>
  <c r="M272" i="17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N221" i="17"/>
  <c r="M221" i="17"/>
  <c r="P221" i="17" s="1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N119" i="17"/>
  <c r="M119" i="17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N95" i="17"/>
  <c r="M95" i="17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P70" i="17" s="1"/>
  <c r="O69" i="17"/>
  <c r="N67" i="17"/>
  <c r="M67" i="17"/>
  <c r="L67" i="17"/>
  <c r="O67" i="17" s="1"/>
  <c r="J65" i="17"/>
  <c r="I65" i="17"/>
  <c r="K65" i="17" s="1"/>
  <c r="J64" i="17"/>
  <c r="I64" i="17"/>
  <c r="K64" i="17" s="1"/>
  <c r="N61" i="17"/>
  <c r="L61" i="17"/>
  <c r="L59" i="17"/>
  <c r="L58" i="17"/>
  <c r="N57" i="17"/>
  <c r="M57" i="17"/>
  <c r="N54" i="17"/>
  <c r="M54" i="17"/>
  <c r="L54" i="17"/>
  <c r="N49" i="17"/>
  <c r="L49" i="17"/>
  <c r="M49" i="17" s="1"/>
  <c r="L47" i="17"/>
  <c r="L46" i="17"/>
  <c r="N45" i="17"/>
  <c r="M45" i="17"/>
  <c r="P42" i="17"/>
  <c r="N42" i="17"/>
  <c r="M42" i="17"/>
  <c r="L42" i="17"/>
  <c r="O42" i="17" s="1"/>
  <c r="P36" i="17"/>
  <c r="O36" i="17"/>
  <c r="P35" i="17"/>
  <c r="O35" i="17"/>
  <c r="M34" i="17"/>
  <c r="P34" i="17" s="1"/>
  <c r="P33" i="17"/>
  <c r="M33" i="17"/>
  <c r="P32" i="17"/>
  <c r="M32" i="17"/>
  <c r="M30" i="17" s="1"/>
  <c r="P30" i="17" s="1"/>
  <c r="M31" i="17"/>
  <c r="O25" i="17"/>
  <c r="N25" i="17"/>
  <c r="N15" i="17" s="1"/>
  <c r="M25" i="17"/>
  <c r="P25" i="17" s="1"/>
  <c r="L25" i="17"/>
  <c r="P24" i="17"/>
  <c r="N24" i="17"/>
  <c r="M24" i="17"/>
  <c r="N23" i="17"/>
  <c r="M23" i="17"/>
  <c r="O21" i="17"/>
  <c r="N21" i="17"/>
  <c r="M21" i="17"/>
  <c r="L21" i="17"/>
  <c r="O19" i="17"/>
  <c r="M19" i="17"/>
  <c r="P19" i="17" s="1"/>
  <c r="L19" i="17"/>
  <c r="P15" i="17"/>
  <c r="M15" i="17"/>
  <c r="L15" i="17"/>
  <c r="O15" i="17" s="1"/>
  <c r="M14" i="17"/>
  <c r="P14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4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N566" i="16"/>
  <c r="L566" i="16"/>
  <c r="N565" i="16"/>
  <c r="L565" i="16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M312" i="16" s="1"/>
  <c r="P312" i="16" s="1"/>
  <c r="O313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M292" i="16" s="1"/>
  <c r="P292" i="16" s="1"/>
  <c r="O293" i="16"/>
  <c r="O291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P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L226" i="16"/>
  <c r="L225" i="16"/>
  <c r="N224" i="16"/>
  <c r="M224" i="16"/>
  <c r="O223" i="16"/>
  <c r="P221" i="16"/>
  <c r="N221" i="16"/>
  <c r="M221" i="16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O121" i="16"/>
  <c r="N119" i="16"/>
  <c r="M119" i="16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O95" i="16"/>
  <c r="N95" i="16"/>
  <c r="M95" i="16"/>
  <c r="P95" i="16" s="1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M74" i="16" s="1"/>
  <c r="L72" i="16"/>
  <c r="L71" i="16"/>
  <c r="N70" i="16"/>
  <c r="M70" i="16"/>
  <c r="O69" i="16"/>
  <c r="O67" i="16"/>
  <c r="N67" i="16"/>
  <c r="M67" i="16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P54" i="16"/>
  <c r="O54" i="16"/>
  <c r="N54" i="16"/>
  <c r="M54" i="16"/>
  <c r="L54" i="16"/>
  <c r="N49" i="16"/>
  <c r="L49" i="16"/>
  <c r="M49" i="16" s="1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M34" i="16"/>
  <c r="P34" i="16" s="1"/>
  <c r="M33" i="16"/>
  <c r="P33" i="16" s="1"/>
  <c r="P32" i="16"/>
  <c r="M32" i="16"/>
  <c r="M31" i="16"/>
  <c r="P31" i="16" s="1"/>
  <c r="P30" i="16"/>
  <c r="M30" i="16"/>
  <c r="P29" i="16"/>
  <c r="M29" i="16"/>
  <c r="M28" i="16" s="1"/>
  <c r="P28" i="16" s="1"/>
  <c r="O25" i="16"/>
  <c r="N25" i="16"/>
  <c r="N15" i="16" s="1"/>
  <c r="M25" i="16"/>
  <c r="P25" i="16" s="1"/>
  <c r="L25" i="16"/>
  <c r="N24" i="16"/>
  <c r="M24" i="16"/>
  <c r="P24" i="16" s="1"/>
  <c r="P23" i="16"/>
  <c r="N23" i="16"/>
  <c r="M23" i="16"/>
  <c r="P21" i="16"/>
  <c r="O21" i="16"/>
  <c r="N21" i="16"/>
  <c r="M21" i="16"/>
  <c r="L21" i="16"/>
  <c r="P19" i="16"/>
  <c r="M19" i="16"/>
  <c r="L19" i="16"/>
  <c r="P15" i="16"/>
  <c r="O15" i="16"/>
  <c r="M15" i="16"/>
  <c r="L15" i="16"/>
  <c r="P14" i="16"/>
  <c r="M14" i="16"/>
  <c r="M13" i="16"/>
  <c r="P13" i="16" s="1"/>
  <c r="P11" i="16"/>
  <c r="M11" i="16"/>
  <c r="P9" i="16"/>
  <c r="M9" i="16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K428" i="15" s="1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O385" i="15" s="1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N311" i="15"/>
  <c r="M311" i="15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M292" i="15" s="1"/>
  <c r="P292" i="15" s="1"/>
  <c r="O293" i="15"/>
  <c r="O291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N272" i="15"/>
  <c r="M272" i="15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P251" i="15"/>
  <c r="N251" i="15"/>
  <c r="M251" i="15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M148" i="15" s="1"/>
  <c r="M148" i="1" s="1"/>
  <c r="L146" i="15"/>
  <c r="L145" i="15"/>
  <c r="N144" i="15"/>
  <c r="M144" i="15"/>
  <c r="O143" i="15"/>
  <c r="N141" i="15"/>
  <c r="M141" i="15"/>
  <c r="L141" i="15"/>
  <c r="O141" i="15" s="1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N119" i="15"/>
  <c r="M119" i="15"/>
  <c r="P119" i="15" s="1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L100" i="15"/>
  <c r="L99" i="15"/>
  <c r="N98" i="15"/>
  <c r="M98" i="15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P67" i="15"/>
  <c r="O67" i="15"/>
  <c r="N67" i="15"/>
  <c r="M67" i="15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M53" i="15" s="1"/>
  <c r="P54" i="15"/>
  <c r="O54" i="15"/>
  <c r="N54" i="15"/>
  <c r="M54" i="15"/>
  <c r="L54" i="15"/>
  <c r="N49" i="15"/>
  <c r="L49" i="15"/>
  <c r="O49" i="15" s="1"/>
  <c r="L47" i="15"/>
  <c r="L46" i="15"/>
  <c r="N45" i="15"/>
  <c r="M45" i="15"/>
  <c r="P42" i="15"/>
  <c r="O42" i="15"/>
  <c r="N42" i="15"/>
  <c r="M42" i="15"/>
  <c r="L42" i="15"/>
  <c r="P36" i="15"/>
  <c r="O36" i="15"/>
  <c r="P35" i="15"/>
  <c r="O35" i="15"/>
  <c r="M34" i="15"/>
  <c r="P33" i="15"/>
  <c r="M33" i="15"/>
  <c r="P32" i="15"/>
  <c r="M32" i="15"/>
  <c r="M30" i="15" s="1"/>
  <c r="P30" i="15" s="1"/>
  <c r="M31" i="15"/>
  <c r="P31" i="15" s="1"/>
  <c r="M29" i="15"/>
  <c r="N25" i="15"/>
  <c r="N15" i="15" s="1"/>
  <c r="M25" i="15"/>
  <c r="L25" i="15"/>
  <c r="P24" i="15"/>
  <c r="N24" i="15"/>
  <c r="M24" i="15"/>
  <c r="P23" i="15"/>
  <c r="N23" i="15"/>
  <c r="M23" i="15"/>
  <c r="P21" i="15"/>
  <c r="O21" i="15"/>
  <c r="N21" i="15"/>
  <c r="N19" i="15" s="1"/>
  <c r="M21" i="15"/>
  <c r="L21" i="15"/>
  <c r="M13" i="15"/>
  <c r="P13" i="15" s="1"/>
  <c r="M11" i="15"/>
  <c r="P11" i="15" s="1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0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L100" i="14"/>
  <c r="L99" i="14"/>
  <c r="N98" i="14"/>
  <c r="M98" i="14"/>
  <c r="O97" i="14"/>
  <c r="O95" i="14"/>
  <c r="N95" i="14"/>
  <c r="M95" i="14"/>
  <c r="P95" i="14" s="1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O69" i="14"/>
  <c r="P67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O54" i="14"/>
  <c r="N54" i="14"/>
  <c r="M54" i="14"/>
  <c r="P54" i="14" s="1"/>
  <c r="L54" i="14"/>
  <c r="N49" i="14"/>
  <c r="L49" i="14"/>
  <c r="O49" i="14" s="1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P34" i="14"/>
  <c r="M34" i="14"/>
  <c r="P33" i="14"/>
  <c r="M33" i="14"/>
  <c r="P32" i="14"/>
  <c r="M32" i="14"/>
  <c r="M30" i="14" s="1"/>
  <c r="P30" i="14" s="1"/>
  <c r="M31" i="14"/>
  <c r="M29" i="14" s="1"/>
  <c r="P25" i="14"/>
  <c r="O25" i="14"/>
  <c r="N25" i="14"/>
  <c r="N15" i="14" s="1"/>
  <c r="M25" i="14"/>
  <c r="L25" i="14"/>
  <c r="P24" i="14"/>
  <c r="N24" i="14"/>
  <c r="M24" i="14"/>
  <c r="P23" i="14"/>
  <c r="N23" i="14"/>
  <c r="M23" i="14"/>
  <c r="O21" i="14"/>
  <c r="N21" i="14"/>
  <c r="M21" i="14"/>
  <c r="P21" i="14" s="1"/>
  <c r="L21" i="14"/>
  <c r="P19" i="14"/>
  <c r="M19" i="14"/>
  <c r="L19" i="14"/>
  <c r="O19" i="14" s="1"/>
  <c r="P15" i="14"/>
  <c r="O15" i="14"/>
  <c r="M15" i="14"/>
  <c r="L15" i="14"/>
  <c r="P14" i="14"/>
  <c r="M14" i="14"/>
  <c r="M13" i="14"/>
  <c r="P13" i="14" s="1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2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M26" i="13" s="1"/>
  <c r="L335" i="13"/>
  <c r="L334" i="13"/>
  <c r="N333" i="13"/>
  <c r="M333" i="13"/>
  <c r="O332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P292" i="13" s="1"/>
  <c r="O293" i="13"/>
  <c r="P291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N221" i="13"/>
  <c r="M221" i="13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O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M96" i="13" s="1"/>
  <c r="P96" i="13" s="1"/>
  <c r="O97" i="13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O54" i="13"/>
  <c r="N54" i="13"/>
  <c r="M54" i="13"/>
  <c r="P54" i="13" s="1"/>
  <c r="L54" i="13"/>
  <c r="N49" i="13"/>
  <c r="L49" i="13"/>
  <c r="L47" i="13"/>
  <c r="L46" i="13"/>
  <c r="N45" i="13"/>
  <c r="M45" i="13"/>
  <c r="P42" i="13"/>
  <c r="O42" i="13"/>
  <c r="N42" i="13"/>
  <c r="M42" i="13"/>
  <c r="L42" i="13"/>
  <c r="P36" i="13"/>
  <c r="O36" i="13"/>
  <c r="P35" i="13"/>
  <c r="O35" i="13"/>
  <c r="P34" i="13"/>
  <c r="M34" i="13"/>
  <c r="P33" i="13"/>
  <c r="M33" i="13"/>
  <c r="P32" i="13"/>
  <c r="M32" i="13"/>
  <c r="M30" i="13" s="1"/>
  <c r="P30" i="13" s="1"/>
  <c r="M31" i="13"/>
  <c r="P25" i="13"/>
  <c r="O25" i="13"/>
  <c r="N25" i="13"/>
  <c r="N15" i="13" s="1"/>
  <c r="M25" i="13"/>
  <c r="L25" i="13"/>
  <c r="P24" i="13"/>
  <c r="N24" i="13"/>
  <c r="M24" i="13"/>
  <c r="N23" i="13"/>
  <c r="M23" i="13"/>
  <c r="P23" i="13" s="1"/>
  <c r="O21" i="13"/>
  <c r="N21" i="13"/>
  <c r="M21" i="13"/>
  <c r="P21" i="13" s="1"/>
  <c r="L21" i="13"/>
  <c r="M19" i="13"/>
  <c r="P19" i="13" s="1"/>
  <c r="L19" i="13"/>
  <c r="P15" i="13"/>
  <c r="M15" i="13"/>
  <c r="L15" i="13"/>
  <c r="O15" i="13" s="1"/>
  <c r="M14" i="13"/>
  <c r="P14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2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L335" i="12"/>
  <c r="L334" i="12"/>
  <c r="N333" i="12"/>
  <c r="M333" i="12"/>
  <c r="O332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M271" i="12" s="1"/>
  <c r="O274" i="12"/>
  <c r="P272" i="12"/>
  <c r="O272" i="12"/>
  <c r="N272" i="12"/>
  <c r="M272" i="12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O251" i="12"/>
  <c r="N251" i="12"/>
  <c r="M251" i="12"/>
  <c r="P251" i="12" s="1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O141" i="12"/>
  <c r="N141" i="12"/>
  <c r="M141" i="12"/>
  <c r="P141" i="12" s="1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O119" i="12"/>
  <c r="N119" i="12"/>
  <c r="M119" i="12"/>
  <c r="L119" i="12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O95" i="12"/>
  <c r="N95" i="12"/>
  <c r="M95" i="12"/>
  <c r="P95" i="12" s="1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M74" i="12" s="1"/>
  <c r="L72" i="12"/>
  <c r="L71" i="12"/>
  <c r="N70" i="12"/>
  <c r="M70" i="12"/>
  <c r="O69" i="12"/>
  <c r="N67" i="12"/>
  <c r="M67" i="12"/>
  <c r="P67" i="12" s="1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N54" i="12"/>
  <c r="M54" i="12"/>
  <c r="L54" i="12"/>
  <c r="O54" i="12" s="1"/>
  <c r="N49" i="12"/>
  <c r="L49" i="12"/>
  <c r="M49" i="12" s="1"/>
  <c r="L47" i="12"/>
  <c r="L46" i="12"/>
  <c r="N45" i="12"/>
  <c r="M45" i="12"/>
  <c r="P42" i="12"/>
  <c r="N42" i="12"/>
  <c r="M42" i="12"/>
  <c r="L42" i="12"/>
  <c r="O42" i="12" s="1"/>
  <c r="P36" i="12"/>
  <c r="O36" i="12"/>
  <c r="P35" i="12"/>
  <c r="O35" i="12"/>
  <c r="M34" i="12"/>
  <c r="P34" i="12" s="1"/>
  <c r="P33" i="12"/>
  <c r="M33" i="12"/>
  <c r="P32" i="12"/>
  <c r="M32" i="12"/>
  <c r="M31" i="12"/>
  <c r="M30" i="12"/>
  <c r="P30" i="12" s="1"/>
  <c r="O25" i="12"/>
  <c r="N25" i="12"/>
  <c r="N15" i="12" s="1"/>
  <c r="M25" i="12"/>
  <c r="P25" i="12" s="1"/>
  <c r="L25" i="12"/>
  <c r="P24" i="12"/>
  <c r="N24" i="12"/>
  <c r="M24" i="12"/>
  <c r="P23" i="12"/>
  <c r="N23" i="12"/>
  <c r="M23" i="12"/>
  <c r="O21" i="12"/>
  <c r="N21" i="12"/>
  <c r="M21" i="12"/>
  <c r="P21" i="12" s="1"/>
  <c r="L21" i="12"/>
  <c r="M19" i="12"/>
  <c r="P19" i="12" s="1"/>
  <c r="L19" i="12"/>
  <c r="P15" i="12"/>
  <c r="M15" i="12"/>
  <c r="L15" i="12"/>
  <c r="O15" i="12" s="1"/>
  <c r="P14" i="12"/>
  <c r="M14" i="12"/>
  <c r="M13" i="12"/>
  <c r="P13" i="12" s="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6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O272" i="11"/>
  <c r="N272" i="11"/>
  <c r="M272" i="11"/>
  <c r="L272" i="1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N251" i="11"/>
  <c r="M251" i="1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L226" i="11"/>
  <c r="L225" i="11"/>
  <c r="N224" i="11"/>
  <c r="M224" i="11"/>
  <c r="M222" i="11" s="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O141" i="11"/>
  <c r="N141" i="11"/>
  <c r="M141" i="1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P119" i="11"/>
  <c r="N119" i="11"/>
  <c r="M119" i="11"/>
  <c r="L119" i="11"/>
  <c r="O119" i="11" s="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M96" i="11" s="1"/>
  <c r="P96" i="11" s="1"/>
  <c r="O97" i="11"/>
  <c r="O95" i="11"/>
  <c r="N95" i="11"/>
  <c r="M95" i="11"/>
  <c r="P95" i="11" s="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O67" i="11"/>
  <c r="N67" i="11"/>
  <c r="M67" i="1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O54" i="11"/>
  <c r="N54" i="11"/>
  <c r="M54" i="11"/>
  <c r="P54" i="11" s="1"/>
  <c r="L54" i="11"/>
  <c r="N49" i="11"/>
  <c r="L49" i="11"/>
  <c r="M49" i="11" s="1"/>
  <c r="L47" i="11"/>
  <c r="L46" i="11"/>
  <c r="N45" i="11"/>
  <c r="M45" i="11"/>
  <c r="P42" i="11"/>
  <c r="N42" i="11"/>
  <c r="M42" i="11"/>
  <c r="L42" i="11"/>
  <c r="O42" i="11" s="1"/>
  <c r="P36" i="11"/>
  <c r="O36" i="11"/>
  <c r="P35" i="11"/>
  <c r="O35" i="11"/>
  <c r="M34" i="11"/>
  <c r="P33" i="11"/>
  <c r="M33" i="11"/>
  <c r="M32" i="11"/>
  <c r="M30" i="11" s="1"/>
  <c r="P30" i="11" s="1"/>
  <c r="P31" i="11"/>
  <c r="M31" i="11"/>
  <c r="M29" i="11"/>
  <c r="P29" i="11" s="1"/>
  <c r="N25" i="11"/>
  <c r="N19" i="11" s="1"/>
  <c r="M25" i="11"/>
  <c r="L25" i="11"/>
  <c r="O25" i="11" s="1"/>
  <c r="P24" i="11"/>
  <c r="N24" i="11"/>
  <c r="M24" i="11"/>
  <c r="N23" i="11"/>
  <c r="M23" i="11"/>
  <c r="P23" i="11" s="1"/>
  <c r="P21" i="11"/>
  <c r="O21" i="11"/>
  <c r="N21" i="11"/>
  <c r="M21" i="11"/>
  <c r="M19" i="11" s="1"/>
  <c r="L21" i="11"/>
  <c r="N15" i="11"/>
  <c r="M11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N352" i="10"/>
  <c r="L352" i="10"/>
  <c r="O352" i="10" s="1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O330" i="10"/>
  <c r="N330" i="10"/>
  <c r="M330" i="10"/>
  <c r="P330" i="10" s="1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P312" i="10" s="1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P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O251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O223" i="10"/>
  <c r="P221" i="10"/>
  <c r="O221" i="10"/>
  <c r="N221" i="10"/>
  <c r="M221" i="10"/>
  <c r="L221" i="10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O121" i="10"/>
  <c r="P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O67" i="10"/>
  <c r="N67" i="10"/>
  <c r="M67" i="10"/>
  <c r="P67" i="10" s="1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N54" i="10"/>
  <c r="M54" i="10"/>
  <c r="P54" i="10" s="1"/>
  <c r="L54" i="10"/>
  <c r="O54" i="10" s="1"/>
  <c r="N49" i="10"/>
  <c r="L49" i="10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M34" i="10"/>
  <c r="P34" i="10" s="1"/>
  <c r="M33" i="10"/>
  <c r="P33" i="10" s="1"/>
  <c r="P32" i="10"/>
  <c r="M32" i="10"/>
  <c r="M31" i="10"/>
  <c r="M30" i="10"/>
  <c r="P30" i="10" s="1"/>
  <c r="O25" i="10"/>
  <c r="N25" i="10"/>
  <c r="N15" i="10" s="1"/>
  <c r="M25" i="10"/>
  <c r="P25" i="10" s="1"/>
  <c r="L25" i="10"/>
  <c r="N24" i="10"/>
  <c r="M24" i="10"/>
  <c r="P24" i="10" s="1"/>
  <c r="P23" i="10"/>
  <c r="N23" i="10"/>
  <c r="M23" i="10"/>
  <c r="N21" i="10"/>
  <c r="M21" i="10"/>
  <c r="M19" i="10" s="1"/>
  <c r="L21" i="10"/>
  <c r="O21" i="10" s="1"/>
  <c r="L19" i="10"/>
  <c r="O15" i="10"/>
  <c r="M15" i="10"/>
  <c r="P15" i="10" s="1"/>
  <c r="L15" i="10"/>
  <c r="P14" i="10"/>
  <c r="M14" i="10"/>
  <c r="M13" i="10"/>
  <c r="P13" i="10" s="1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M26" i="9" s="1"/>
  <c r="M16" i="9" s="1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L316" i="9"/>
  <c r="L315" i="9"/>
  <c r="N314" i="9"/>
  <c r="M314" i="9"/>
  <c r="O313" i="9"/>
  <c r="O311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P273" i="9" s="1"/>
  <c r="O274" i="9"/>
  <c r="N272" i="9"/>
  <c r="M272" i="9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P251" i="9" s="1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N221" i="9"/>
  <c r="M221" i="9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P120" i="9" s="1"/>
  <c r="O121" i="9"/>
  <c r="N119" i="9"/>
  <c r="M119" i="9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O95" i="9"/>
  <c r="N95" i="9"/>
  <c r="M95" i="9"/>
  <c r="P95" i="9" s="1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O69" i="9"/>
  <c r="O67" i="9"/>
  <c r="N67" i="9"/>
  <c r="M67" i="9"/>
  <c r="P67" i="9" s="1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O42" i="9"/>
  <c r="N42" i="9"/>
  <c r="M42" i="9"/>
  <c r="P42" i="9" s="1"/>
  <c r="L42" i="9"/>
  <c r="P36" i="9"/>
  <c r="O36" i="9"/>
  <c r="P35" i="9"/>
  <c r="O35" i="9"/>
  <c r="M34" i="9"/>
  <c r="P34" i="9" s="1"/>
  <c r="M33" i="9"/>
  <c r="P33" i="9" s="1"/>
  <c r="P32" i="9"/>
  <c r="M32" i="9"/>
  <c r="M31" i="9"/>
  <c r="M30" i="9"/>
  <c r="P30" i="9" s="1"/>
  <c r="O25" i="9"/>
  <c r="N25" i="9"/>
  <c r="N15" i="9" s="1"/>
  <c r="M25" i="9"/>
  <c r="P25" i="9" s="1"/>
  <c r="L25" i="9"/>
  <c r="N24" i="9"/>
  <c r="M24" i="9"/>
  <c r="P24" i="9" s="1"/>
  <c r="P23" i="9"/>
  <c r="N23" i="9"/>
  <c r="M23" i="9"/>
  <c r="N21" i="9"/>
  <c r="M21" i="9"/>
  <c r="M19" i="9" s="1"/>
  <c r="L21" i="9"/>
  <c r="O21" i="9" s="1"/>
  <c r="L19" i="9"/>
  <c r="O15" i="9"/>
  <c r="L15" i="9"/>
  <c r="P14" i="9"/>
  <c r="M14" i="9"/>
  <c r="M13" i="9"/>
  <c r="P13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P330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L316" i="8"/>
  <c r="L315" i="8"/>
  <c r="N314" i="8"/>
  <c r="M314" i="8"/>
  <c r="O313" i="8"/>
  <c r="O311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N272" i="8"/>
  <c r="M272" i="8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N221" i="8"/>
  <c r="M221" i="8"/>
  <c r="P221" i="8" s="1"/>
  <c r="L221" i="8"/>
  <c r="O221" i="8" s="1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N119" i="8"/>
  <c r="M119" i="8"/>
  <c r="L119" i="8"/>
  <c r="O119" i="8" s="1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M102" i="8" s="1"/>
  <c r="L100" i="8"/>
  <c r="L99" i="8"/>
  <c r="N98" i="8"/>
  <c r="M98" i="8"/>
  <c r="O97" i="8"/>
  <c r="P95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P67" i="8"/>
  <c r="N67" i="8"/>
  <c r="M67" i="8"/>
  <c r="L67" i="8"/>
  <c r="J65" i="8"/>
  <c r="I65" i="8"/>
  <c r="J64" i="8"/>
  <c r="I64" i="8"/>
  <c r="N61" i="8"/>
  <c r="L61" i="8"/>
  <c r="L59" i="8"/>
  <c r="L58" i="8"/>
  <c r="N57" i="8"/>
  <c r="M57" i="8"/>
  <c r="P54" i="8"/>
  <c r="O54" i="8"/>
  <c r="N54" i="8"/>
  <c r="M54" i="8"/>
  <c r="L54" i="8"/>
  <c r="N49" i="8"/>
  <c r="L49" i="8"/>
  <c r="M49" i="8" s="1"/>
  <c r="L47" i="8"/>
  <c r="L46" i="8"/>
  <c r="N45" i="8"/>
  <c r="M45" i="8"/>
  <c r="P42" i="8"/>
  <c r="N42" i="8"/>
  <c r="M42" i="8"/>
  <c r="L42" i="8"/>
  <c r="P36" i="8"/>
  <c r="O36" i="8"/>
  <c r="P35" i="8"/>
  <c r="O35" i="8"/>
  <c r="M34" i="8"/>
  <c r="P33" i="8"/>
  <c r="M33" i="8"/>
  <c r="M32" i="8"/>
  <c r="P32" i="8" s="1"/>
  <c r="P31" i="8"/>
  <c r="M31" i="8"/>
  <c r="M29" i="8" s="1"/>
  <c r="M30" i="8"/>
  <c r="P29" i="8"/>
  <c r="N25" i="8"/>
  <c r="N15" i="8" s="1"/>
  <c r="M25" i="8"/>
  <c r="L25" i="8"/>
  <c r="O25" i="8" s="1"/>
  <c r="P24" i="8"/>
  <c r="N24" i="8"/>
  <c r="M24" i="8"/>
  <c r="P23" i="8"/>
  <c r="N23" i="8"/>
  <c r="M23" i="8"/>
  <c r="P21" i="8"/>
  <c r="O21" i="8"/>
  <c r="N21" i="8"/>
  <c r="N19" i="8" s="1"/>
  <c r="M21" i="8"/>
  <c r="L21" i="8"/>
  <c r="L19" i="8"/>
  <c r="M13" i="8"/>
  <c r="P13" i="8" s="1"/>
  <c r="M11" i="8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3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M312" i="7" s="1"/>
  <c r="P312" i="7" s="1"/>
  <c r="O313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P221" i="7"/>
  <c r="O221" i="7"/>
  <c r="N221" i="7"/>
  <c r="M221" i="7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M140" i="7" s="1"/>
  <c r="O143" i="7"/>
  <c r="N141" i="7"/>
  <c r="M141" i="7"/>
  <c r="P141" i="7" s="1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M102" i="7" s="1"/>
  <c r="L100" i="7"/>
  <c r="L99" i="7"/>
  <c r="N98" i="7"/>
  <c r="M98" i="7"/>
  <c r="O97" i="7"/>
  <c r="N95" i="7"/>
  <c r="M95" i="7"/>
  <c r="P95" i="7" s="1"/>
  <c r="L95" i="7"/>
  <c r="J93" i="7"/>
  <c r="I93" i="7"/>
  <c r="J92" i="7"/>
  <c r="I92" i="7"/>
  <c r="J90" i="7"/>
  <c r="J89" i="7"/>
  <c r="J88" i="7"/>
  <c r="I88" i="7"/>
  <c r="K88" i="7" s="1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O67" i="7"/>
  <c r="N67" i="7"/>
  <c r="M67" i="7"/>
  <c r="P67" i="7" s="1"/>
  <c r="L67" i="7"/>
  <c r="J65" i="7"/>
  <c r="I65" i="7"/>
  <c r="J64" i="7"/>
  <c r="I64" i="7"/>
  <c r="N61" i="7"/>
  <c r="L61" i="7"/>
  <c r="L59" i="7"/>
  <c r="L58" i="7"/>
  <c r="N57" i="7"/>
  <c r="M57" i="7"/>
  <c r="N54" i="7"/>
  <c r="M54" i="7"/>
  <c r="L54" i="7"/>
  <c r="O54" i="7" s="1"/>
  <c r="N49" i="7"/>
  <c r="L49" i="7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M34" i="7"/>
  <c r="P34" i="7" s="1"/>
  <c r="P33" i="7"/>
  <c r="M33" i="7"/>
  <c r="M32" i="7"/>
  <c r="P31" i="7"/>
  <c r="M31" i="7"/>
  <c r="M29" i="7"/>
  <c r="N25" i="7"/>
  <c r="M25" i="7"/>
  <c r="P25" i="7" s="1"/>
  <c r="L25" i="7"/>
  <c r="P24" i="7"/>
  <c r="N24" i="7"/>
  <c r="M24" i="7"/>
  <c r="N23" i="7"/>
  <c r="M23" i="7"/>
  <c r="P21" i="7"/>
  <c r="O21" i="7"/>
  <c r="N21" i="7"/>
  <c r="N19" i="7" s="1"/>
  <c r="M21" i="7"/>
  <c r="M19" i="7" s="1"/>
  <c r="L21" i="7"/>
  <c r="P15" i="7"/>
  <c r="N15" i="7"/>
  <c r="M15" i="7"/>
  <c r="M14" i="7"/>
  <c r="P14" i="7" s="1"/>
  <c r="M11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N337" i="6"/>
  <c r="L337" i="6"/>
  <c r="L335" i="6"/>
  <c r="L334" i="6"/>
  <c r="N333" i="6"/>
  <c r="M333" i="6"/>
  <c r="O332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L296" i="6"/>
  <c r="L295" i="6"/>
  <c r="N294" i="6"/>
  <c r="M294" i="6"/>
  <c r="O293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N272" i="6"/>
  <c r="M272" i="6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O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O221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P141" i="6"/>
  <c r="N141" i="6"/>
  <c r="M141" i="6"/>
  <c r="L141" i="6"/>
  <c r="O141" i="6" s="1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L124" i="6"/>
  <c r="L123" i="6"/>
  <c r="N122" i="6"/>
  <c r="M122" i="6"/>
  <c r="M120" i="6" s="1"/>
  <c r="O121" i="6"/>
  <c r="N119" i="6"/>
  <c r="M119" i="6"/>
  <c r="P119" i="6" s="1"/>
  <c r="L119" i="6"/>
  <c r="O119" i="6" s="1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P95" i="6"/>
  <c r="N95" i="6"/>
  <c r="M95" i="6"/>
  <c r="L95" i="6"/>
  <c r="O95" i="6" s="1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O69" i="6"/>
  <c r="N67" i="6"/>
  <c r="M67" i="6"/>
  <c r="P67" i="6" s="1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P54" i="6" s="1"/>
  <c r="L54" i="6"/>
  <c r="O54" i="6" s="1"/>
  <c r="N49" i="6"/>
  <c r="L49" i="6"/>
  <c r="O49" i="6" s="1"/>
  <c r="L47" i="6"/>
  <c r="L46" i="6"/>
  <c r="N45" i="6"/>
  <c r="M45" i="6"/>
  <c r="M43" i="6" s="1"/>
  <c r="N42" i="6"/>
  <c r="M42" i="6"/>
  <c r="P42" i="6" s="1"/>
  <c r="L42" i="6"/>
  <c r="O42" i="6" s="1"/>
  <c r="P36" i="6"/>
  <c r="O36" i="6"/>
  <c r="P35" i="6"/>
  <c r="O35" i="6"/>
  <c r="M34" i="6"/>
  <c r="P34" i="6" s="1"/>
  <c r="M33" i="6"/>
  <c r="P33" i="6" s="1"/>
  <c r="P32" i="6"/>
  <c r="M32" i="6"/>
  <c r="M31" i="6"/>
  <c r="M29" i="6" s="1"/>
  <c r="M30" i="6"/>
  <c r="P30" i="6" s="1"/>
  <c r="P25" i="6"/>
  <c r="N25" i="6"/>
  <c r="N15" i="6" s="1"/>
  <c r="M25" i="6"/>
  <c r="M15" i="6" s="1"/>
  <c r="P15" i="6" s="1"/>
  <c r="L25" i="6"/>
  <c r="O25" i="6" s="1"/>
  <c r="N24" i="6"/>
  <c r="M24" i="6"/>
  <c r="P24" i="6" s="1"/>
  <c r="P23" i="6"/>
  <c r="N23" i="6"/>
  <c r="M23" i="6"/>
  <c r="N21" i="6"/>
  <c r="M21" i="6"/>
  <c r="L21" i="6"/>
  <c r="O21" i="6" s="1"/>
  <c r="N19" i="6"/>
  <c r="L19" i="6"/>
  <c r="L15" i="6"/>
  <c r="O15" i="6" s="1"/>
  <c r="M14" i="6"/>
  <c r="P14" i="6" s="1"/>
  <c r="P13" i="6"/>
  <c r="M13" i="6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4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N566" i="5"/>
  <c r="L566" i="5"/>
  <c r="N565" i="5"/>
  <c r="L565" i="5"/>
  <c r="O565" i="5" s="1"/>
  <c r="N564" i="5"/>
  <c r="L564" i="5"/>
  <c r="J564" i="5"/>
  <c r="I564" i="5"/>
  <c r="J561" i="5"/>
  <c r="I561" i="5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P311" i="5"/>
  <c r="O311" i="5"/>
  <c r="N311" i="5"/>
  <c r="M311" i="5"/>
  <c r="L311" i="5"/>
  <c r="J309" i="5"/>
  <c r="I309" i="5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P291" i="5"/>
  <c r="N291" i="5"/>
  <c r="M291" i="5"/>
  <c r="L291" i="5"/>
  <c r="O291" i="5" s="1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N221" i="5"/>
  <c r="M221" i="5"/>
  <c r="P221" i="5" s="1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O141" i="5"/>
  <c r="N141" i="5"/>
  <c r="M141" i="5"/>
  <c r="L141" i="5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P119" i="5"/>
  <c r="O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O54" i="5"/>
  <c r="N54" i="5"/>
  <c r="M54" i="5"/>
  <c r="L54" i="5"/>
  <c r="N49" i="5"/>
  <c r="L49" i="5"/>
  <c r="O49" i="5" s="1"/>
  <c r="L47" i="5"/>
  <c r="L46" i="5"/>
  <c r="N45" i="5"/>
  <c r="M45" i="5"/>
  <c r="P42" i="5"/>
  <c r="O42" i="5"/>
  <c r="N42" i="5"/>
  <c r="M42" i="5"/>
  <c r="L42" i="5"/>
  <c r="P36" i="5"/>
  <c r="O36" i="5"/>
  <c r="P35" i="5"/>
  <c r="O35" i="5"/>
  <c r="M34" i="5"/>
  <c r="P34" i="5" s="1"/>
  <c r="P33" i="5"/>
  <c r="M33" i="5"/>
  <c r="M32" i="5"/>
  <c r="P31" i="5"/>
  <c r="M31" i="5"/>
  <c r="M29" i="5"/>
  <c r="P29" i="5" s="1"/>
  <c r="N25" i="5"/>
  <c r="M25" i="5"/>
  <c r="P25" i="5" s="1"/>
  <c r="L25" i="5"/>
  <c r="O25" i="5" s="1"/>
  <c r="P24" i="5"/>
  <c r="N24" i="5"/>
  <c r="M24" i="5"/>
  <c r="N23" i="5"/>
  <c r="M23" i="5"/>
  <c r="P21" i="5"/>
  <c r="O21" i="5"/>
  <c r="N21" i="5"/>
  <c r="M21" i="5"/>
  <c r="M19" i="5" s="1"/>
  <c r="L21" i="5"/>
  <c r="L19" i="5" s="1"/>
  <c r="P19" i="5"/>
  <c r="N15" i="5"/>
  <c r="M14" i="5"/>
  <c r="P14" i="5" s="1"/>
  <c r="M11" i="5"/>
  <c r="P11" i="5" s="1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N330" i="4"/>
  <c r="M330" i="4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N311" i="4"/>
  <c r="M311" i="4"/>
  <c r="P311" i="4" s="1"/>
  <c r="L311" i="4"/>
  <c r="O311" i="4" s="1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P292" i="4" s="1"/>
  <c r="O293" i="4"/>
  <c r="N291" i="4"/>
  <c r="M291" i="4"/>
  <c r="P291" i="4" s="1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P272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O221" i="4"/>
  <c r="N221" i="4"/>
  <c r="M221" i="4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O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N119" i="4"/>
  <c r="M119" i="4"/>
  <c r="P119" i="4" s="1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P95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N67" i="4"/>
  <c r="M67" i="4"/>
  <c r="P67" i="4" s="1"/>
  <c r="L67" i="4"/>
  <c r="O67" i="4" s="1"/>
  <c r="J65" i="4"/>
  <c r="I65" i="4"/>
  <c r="J64" i="4"/>
  <c r="I64" i="4"/>
  <c r="N61" i="4"/>
  <c r="L61" i="4"/>
  <c r="O61" i="4" s="1"/>
  <c r="L59" i="4"/>
  <c r="L58" i="4"/>
  <c r="N57" i="4"/>
  <c r="M57" i="4"/>
  <c r="M55" i="4" s="1"/>
  <c r="M53" i="4" s="1"/>
  <c r="P54" i="4"/>
  <c r="N54" i="4"/>
  <c r="M54" i="4"/>
  <c r="L54" i="4"/>
  <c r="O54" i="4" s="1"/>
  <c r="N49" i="4"/>
  <c r="L49" i="4"/>
  <c r="L47" i="4"/>
  <c r="L46" i="4"/>
  <c r="N45" i="4"/>
  <c r="M45" i="4"/>
  <c r="O42" i="4"/>
  <c r="N42" i="4"/>
  <c r="M42" i="4"/>
  <c r="L42" i="4"/>
  <c r="P36" i="4"/>
  <c r="O36" i="4"/>
  <c r="P35" i="4"/>
  <c r="O35" i="4"/>
  <c r="P34" i="4"/>
  <c r="M34" i="4"/>
  <c r="M33" i="4"/>
  <c r="P33" i="4" s="1"/>
  <c r="P32" i="4"/>
  <c r="M32" i="4"/>
  <c r="M30" i="4" s="1"/>
  <c r="P30" i="4" s="1"/>
  <c r="M31" i="4"/>
  <c r="P25" i="4"/>
  <c r="O25" i="4"/>
  <c r="N25" i="4"/>
  <c r="M25" i="4"/>
  <c r="L25" i="4"/>
  <c r="N24" i="4"/>
  <c r="M24" i="4"/>
  <c r="P24" i="4" s="1"/>
  <c r="P23" i="4"/>
  <c r="N23" i="4"/>
  <c r="M23" i="4"/>
  <c r="O21" i="4"/>
  <c r="N21" i="4"/>
  <c r="N19" i="4" s="1"/>
  <c r="M21" i="4"/>
  <c r="P21" i="4" s="1"/>
  <c r="L21" i="4"/>
  <c r="L19" i="4" s="1"/>
  <c r="O19" i="4" s="1"/>
  <c r="N15" i="4"/>
  <c r="M15" i="4"/>
  <c r="P15" i="4" s="1"/>
  <c r="L15" i="4"/>
  <c r="O15" i="4" s="1"/>
  <c r="M13" i="4"/>
  <c r="P13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P292" i="3" s="1"/>
  <c r="O293" i="3"/>
  <c r="O291" i="3"/>
  <c r="N291" i="3"/>
  <c r="M291" i="3"/>
  <c r="P291" i="3" s="1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M140" i="3" s="1"/>
  <c r="O143" i="3"/>
  <c r="P141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P120" i="3" s="1"/>
  <c r="O121" i="3"/>
  <c r="N119" i="3"/>
  <c r="M119" i="3"/>
  <c r="P119" i="3" s="1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P95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P54" i="3"/>
  <c r="N54" i="3"/>
  <c r="M54" i="3"/>
  <c r="L54" i="3"/>
  <c r="O54" i="3" s="1"/>
  <c r="N49" i="3"/>
  <c r="L49" i="3"/>
  <c r="O49" i="3" s="1"/>
  <c r="L47" i="3"/>
  <c r="L46" i="3"/>
  <c r="N45" i="3"/>
  <c r="M45" i="3"/>
  <c r="N42" i="3"/>
  <c r="M42" i="3"/>
  <c r="P42" i="3" s="1"/>
  <c r="L42" i="3"/>
  <c r="P36" i="3"/>
  <c r="O36" i="3"/>
  <c r="P35" i="3"/>
  <c r="O35" i="3"/>
  <c r="P34" i="3"/>
  <c r="M34" i="3"/>
  <c r="M33" i="3"/>
  <c r="P33" i="3" s="1"/>
  <c r="P32" i="3"/>
  <c r="M32" i="3"/>
  <c r="M31" i="3"/>
  <c r="P31" i="3" s="1"/>
  <c r="P30" i="3"/>
  <c r="M30" i="3"/>
  <c r="P29" i="3"/>
  <c r="M29" i="3"/>
  <c r="M28" i="3"/>
  <c r="P28" i="3" s="1"/>
  <c r="P25" i="3"/>
  <c r="O25" i="3"/>
  <c r="N25" i="3"/>
  <c r="M25" i="3"/>
  <c r="L25" i="3"/>
  <c r="N24" i="3"/>
  <c r="M24" i="3"/>
  <c r="P24" i="3" s="1"/>
  <c r="P23" i="3"/>
  <c r="N23" i="3"/>
  <c r="M23" i="3"/>
  <c r="P21" i="3"/>
  <c r="N21" i="3"/>
  <c r="M21" i="3"/>
  <c r="L21" i="3"/>
  <c r="O21" i="3" s="1"/>
  <c r="N19" i="3"/>
  <c r="M19" i="3"/>
  <c r="N15" i="3"/>
  <c r="M15" i="3"/>
  <c r="P15" i="3" s="1"/>
  <c r="L15" i="3"/>
  <c r="O15" i="3" s="1"/>
  <c r="P11" i="3"/>
  <c r="M11" i="3"/>
  <c r="M9" i="3" s="1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2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O598" i="2" s="1"/>
  <c r="N597" i="2"/>
  <c r="L597" i="2"/>
  <c r="J597" i="2"/>
  <c r="I597" i="2"/>
  <c r="J596" i="2"/>
  <c r="I596" i="2"/>
  <c r="J595" i="2"/>
  <c r="I595" i="2"/>
  <c r="J594" i="2"/>
  <c r="I594" i="2"/>
  <c r="J593" i="2"/>
  <c r="I593" i="2"/>
  <c r="J592" i="2"/>
  <c r="I592" i="2"/>
  <c r="J591" i="2"/>
  <c r="I591" i="2"/>
  <c r="K590" i="2"/>
  <c r="J590" i="2"/>
  <c r="I590" i="2"/>
  <c r="J589" i="2"/>
  <c r="I589" i="2"/>
  <c r="N588" i="2"/>
  <c r="N587" i="2"/>
  <c r="N586" i="2"/>
  <c r="N585" i="2"/>
  <c r="N584" i="2"/>
  <c r="L584" i="2"/>
  <c r="N583" i="2"/>
  <c r="L583" i="2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J512" i="2"/>
  <c r="I512" i="2"/>
  <c r="K512" i="2" s="1"/>
  <c r="J511" i="2"/>
  <c r="I511" i="2"/>
  <c r="K511" i="2" s="1"/>
  <c r="J510" i="2"/>
  <c r="I510" i="2"/>
  <c r="J509" i="2"/>
  <c r="I509" i="2"/>
  <c r="J508" i="2"/>
  <c r="I508" i="2"/>
  <c r="J507" i="2"/>
  <c r="I507" i="2"/>
  <c r="K507" i="2" s="1"/>
  <c r="J506" i="2"/>
  <c r="I506" i="2"/>
  <c r="K506" i="2" s="1"/>
  <c r="J505" i="2"/>
  <c r="I505" i="2"/>
  <c r="J504" i="2"/>
  <c r="I504" i="2"/>
  <c r="K504" i="2" s="1"/>
  <c r="J503" i="2"/>
  <c r="I503" i="2"/>
  <c r="K503" i="2" s="1"/>
  <c r="J502" i="2"/>
  <c r="I502" i="2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J493" i="2"/>
  <c r="I493" i="2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J486" i="2"/>
  <c r="I486" i="2"/>
  <c r="K486" i="2" s="1"/>
  <c r="J485" i="2"/>
  <c r="I485" i="2"/>
  <c r="J484" i="2"/>
  <c r="I484" i="2"/>
  <c r="K484" i="2" s="1"/>
  <c r="J483" i="2"/>
  <c r="I483" i="2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J476" i="2"/>
  <c r="I476" i="2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J468" i="2"/>
  <c r="I468" i="2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J374" i="2"/>
  <c r="I374" i="2"/>
  <c r="J373" i="2"/>
  <c r="I373" i="2"/>
  <c r="K373" i="2" s="1"/>
  <c r="J372" i="2"/>
  <c r="I372" i="2"/>
  <c r="K372" i="2" s="1"/>
  <c r="J371" i="2"/>
  <c r="I371" i="2"/>
  <c r="J370" i="2"/>
  <c r="I370" i="2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O352" i="2" s="1"/>
  <c r="N351" i="2"/>
  <c r="L351" i="2"/>
  <c r="J350" i="2"/>
  <c r="I350" i="2"/>
  <c r="K350" i="2" s="1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N311" i="2"/>
  <c r="M311" i="2"/>
  <c r="L311" i="2"/>
  <c r="O311" i="2" s="1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L296" i="2"/>
  <c r="L295" i="2"/>
  <c r="N294" i="2"/>
  <c r="M294" i="2"/>
  <c r="O293" i="2"/>
  <c r="O291" i="2"/>
  <c r="N291" i="2"/>
  <c r="M291" i="2"/>
  <c r="P291" i="2" s="1"/>
  <c r="L291" i="2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N272" i="2"/>
  <c r="M272" i="2"/>
  <c r="P272" i="2" s="1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L146" i="2"/>
  <c r="L145" i="2"/>
  <c r="N144" i="2"/>
  <c r="M144" i="2"/>
  <c r="M142" i="2" s="1"/>
  <c r="O143" i="2"/>
  <c r="P141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N119" i="2"/>
  <c r="M119" i="2"/>
  <c r="P119" i="2" s="1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O97" i="2"/>
  <c r="N95" i="2"/>
  <c r="M95" i="2"/>
  <c r="P95" i="2" s="1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O67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N54" i="2"/>
  <c r="M54" i="2"/>
  <c r="P54" i="2" s="1"/>
  <c r="L54" i="2"/>
  <c r="O54" i="2" s="1"/>
  <c r="N49" i="2"/>
  <c r="L49" i="2"/>
  <c r="O49" i="2" s="1"/>
  <c r="L47" i="2"/>
  <c r="L46" i="2"/>
  <c r="N45" i="2"/>
  <c r="M45" i="2"/>
  <c r="O42" i="2"/>
  <c r="N42" i="2"/>
  <c r="M42" i="2"/>
  <c r="P42" i="2" s="1"/>
  <c r="L42" i="2"/>
  <c r="P36" i="2"/>
  <c r="O36" i="2"/>
  <c r="P35" i="2"/>
  <c r="O35" i="2"/>
  <c r="M34" i="2"/>
  <c r="M33" i="2"/>
  <c r="P33" i="2" s="1"/>
  <c r="P32" i="2"/>
  <c r="M32" i="2"/>
  <c r="M31" i="2"/>
  <c r="P31" i="2" s="1"/>
  <c r="M30" i="2"/>
  <c r="P30" i="2" s="1"/>
  <c r="P26" i="2"/>
  <c r="M26" i="2"/>
  <c r="N25" i="2"/>
  <c r="M25" i="2"/>
  <c r="L25" i="2"/>
  <c r="O25" i="2" s="1"/>
  <c r="N24" i="2"/>
  <c r="M24" i="2"/>
  <c r="P24" i="2" s="1"/>
  <c r="P23" i="2"/>
  <c r="N23" i="2"/>
  <c r="M23" i="2"/>
  <c r="N21" i="2"/>
  <c r="N19" i="2" s="1"/>
  <c r="M21" i="2"/>
  <c r="L21" i="2"/>
  <c r="O21" i="2" s="1"/>
  <c r="L19" i="2"/>
  <c r="O19" i="2" s="1"/>
  <c r="M16" i="2"/>
  <c r="P16" i="2" s="1"/>
  <c r="O15" i="2"/>
  <c r="N15" i="2"/>
  <c r="L15" i="2"/>
  <c r="M13" i="2"/>
  <c r="P13" i="2" s="1"/>
  <c r="M11" i="2"/>
  <c r="P11" i="2" s="1"/>
  <c r="I548" i="1"/>
  <c r="K548" i="1" s="1"/>
  <c r="I365" i="1"/>
  <c r="K365" i="1" s="1"/>
  <c r="L336" i="1"/>
  <c r="N332" i="1"/>
  <c r="M332" i="1"/>
  <c r="L332" i="1"/>
  <c r="O332" i="1" s="1"/>
  <c r="O330" i="1"/>
  <c r="N330" i="1"/>
  <c r="M330" i="1"/>
  <c r="P330" i="1" s="1"/>
  <c r="L330" i="1"/>
  <c r="L317" i="1"/>
  <c r="O313" i="1"/>
  <c r="N313" i="1"/>
  <c r="M313" i="1"/>
  <c r="L313" i="1"/>
  <c r="N311" i="1"/>
  <c r="M311" i="1"/>
  <c r="P311" i="1" s="1"/>
  <c r="L311" i="1"/>
  <c r="O311" i="1" s="1"/>
  <c r="J307" i="1"/>
  <c r="L297" i="1"/>
  <c r="L25" i="1" s="1"/>
  <c r="O293" i="1"/>
  <c r="N293" i="1"/>
  <c r="M293" i="1"/>
  <c r="L293" i="1"/>
  <c r="P291" i="1"/>
  <c r="N291" i="1"/>
  <c r="M291" i="1"/>
  <c r="L291" i="1"/>
  <c r="O291" i="1" s="1"/>
  <c r="L278" i="1"/>
  <c r="N274" i="1"/>
  <c r="M274" i="1"/>
  <c r="L274" i="1"/>
  <c r="O274" i="1" s="1"/>
  <c r="P272" i="1"/>
  <c r="N272" i="1"/>
  <c r="M272" i="1"/>
  <c r="L257" i="1"/>
  <c r="N253" i="1"/>
  <c r="M253" i="1"/>
  <c r="L253" i="1"/>
  <c r="O253" i="1" s="1"/>
  <c r="P251" i="1"/>
  <c r="N251" i="1"/>
  <c r="M251" i="1"/>
  <c r="L251" i="1"/>
  <c r="O251" i="1" s="1"/>
  <c r="J240" i="1"/>
  <c r="L227" i="1"/>
  <c r="N223" i="1"/>
  <c r="M223" i="1"/>
  <c r="M21" i="1" s="1"/>
  <c r="L223" i="1"/>
  <c r="O223" i="1" s="1"/>
  <c r="O221" i="1"/>
  <c r="N221" i="1"/>
  <c r="M221" i="1"/>
  <c r="P221" i="1" s="1"/>
  <c r="L221" i="1"/>
  <c r="J214" i="1"/>
  <c r="I214" i="1"/>
  <c r="J198" i="1"/>
  <c r="L147" i="1"/>
  <c r="O143" i="1"/>
  <c r="N143" i="1"/>
  <c r="M143" i="1"/>
  <c r="L143" i="1"/>
  <c r="P141" i="1"/>
  <c r="N141" i="1"/>
  <c r="M141" i="1"/>
  <c r="L141" i="1"/>
  <c r="O141" i="1" s="1"/>
  <c r="L125" i="1"/>
  <c r="O121" i="1"/>
  <c r="N121" i="1"/>
  <c r="N21" i="1" s="1"/>
  <c r="M121" i="1"/>
  <c r="L121" i="1"/>
  <c r="P119" i="1"/>
  <c r="O119" i="1"/>
  <c r="N119" i="1"/>
  <c r="M119" i="1"/>
  <c r="L119" i="1"/>
  <c r="L101" i="1"/>
  <c r="O97" i="1"/>
  <c r="N97" i="1"/>
  <c r="M97" i="1"/>
  <c r="L97" i="1"/>
  <c r="P95" i="1"/>
  <c r="N95" i="1"/>
  <c r="M95" i="1"/>
  <c r="L95" i="1"/>
  <c r="O95" i="1" s="1"/>
  <c r="L73" i="1"/>
  <c r="O69" i="1"/>
  <c r="N69" i="1"/>
  <c r="M69" i="1"/>
  <c r="L69" i="1"/>
  <c r="P67" i="1"/>
  <c r="O67" i="1"/>
  <c r="N67" i="1"/>
  <c r="M67" i="1"/>
  <c r="L67" i="1"/>
  <c r="L60" i="1"/>
  <c r="L56" i="1"/>
  <c r="P54" i="1"/>
  <c r="N54" i="1"/>
  <c r="M54" i="1"/>
  <c r="L54" i="1"/>
  <c r="O54" i="1" s="1"/>
  <c r="L48" i="1"/>
  <c r="L44" i="1"/>
  <c r="L42" i="1" s="1"/>
  <c r="P42" i="1"/>
  <c r="N42" i="1"/>
  <c r="M42" i="1"/>
  <c r="P36" i="1"/>
  <c r="O36" i="1"/>
  <c r="P35" i="1"/>
  <c r="O35" i="1"/>
  <c r="P34" i="1"/>
  <c r="M34" i="1"/>
  <c r="P33" i="1"/>
  <c r="M33" i="1"/>
  <c r="M32" i="1"/>
  <c r="P32" i="1" s="1"/>
  <c r="P31" i="1"/>
  <c r="M31" i="1"/>
  <c r="M29" i="1"/>
  <c r="P29" i="1" s="1"/>
  <c r="P25" i="1"/>
  <c r="N25" i="1"/>
  <c r="M25" i="1"/>
  <c r="P24" i="1"/>
  <c r="N24" i="1"/>
  <c r="M24" i="1"/>
  <c r="N23" i="1"/>
  <c r="M23" i="1"/>
  <c r="P23" i="1" s="1"/>
  <c r="P15" i="1"/>
  <c r="N15" i="1"/>
  <c r="M15" i="1"/>
  <c r="M14" i="1"/>
  <c r="P14" i="1" s="1"/>
  <c r="K416" i="4" l="1"/>
  <c r="K424" i="4"/>
  <c r="K428" i="4"/>
  <c r="K432" i="4"/>
  <c r="K370" i="11"/>
  <c r="K401" i="11"/>
  <c r="K417" i="11"/>
  <c r="K429" i="11"/>
  <c r="O582" i="18"/>
  <c r="O406" i="18"/>
  <c r="O533" i="18"/>
  <c r="O599" i="18"/>
  <c r="K580" i="18"/>
  <c r="K455" i="18"/>
  <c r="K591" i="18"/>
  <c r="K595" i="18"/>
  <c r="K632" i="18"/>
  <c r="K589" i="18"/>
  <c r="K110" i="3"/>
  <c r="L314" i="18"/>
  <c r="O314" i="18" s="1"/>
  <c r="O439" i="8"/>
  <c r="K632" i="9"/>
  <c r="O537" i="3"/>
  <c r="L224" i="10"/>
  <c r="O224" i="10" s="1"/>
  <c r="L294" i="10"/>
  <c r="O294" i="10" s="1"/>
  <c r="K265" i="4"/>
  <c r="K270" i="4"/>
  <c r="K93" i="5"/>
  <c r="O564" i="5"/>
  <c r="K110" i="7"/>
  <c r="K349" i="15"/>
  <c r="L314" i="8"/>
  <c r="O314" i="8" s="1"/>
  <c r="O380" i="9"/>
  <c r="K466" i="15"/>
  <c r="K474" i="15"/>
  <c r="K482" i="15"/>
  <c r="K498" i="15"/>
  <c r="K634" i="15"/>
  <c r="N387" i="1"/>
  <c r="K372" i="14"/>
  <c r="O380" i="14"/>
  <c r="K449" i="3"/>
  <c r="K235" i="5"/>
  <c r="L70" i="14"/>
  <c r="L68" i="14" s="1"/>
  <c r="K417" i="15"/>
  <c r="K464" i="15"/>
  <c r="O457" i="16"/>
  <c r="K264" i="18"/>
  <c r="K343" i="11"/>
  <c r="O564" i="16"/>
  <c r="N312" i="5"/>
  <c r="N310" i="5" s="1"/>
  <c r="L98" i="5"/>
  <c r="O98" i="5" s="1"/>
  <c r="K564" i="5"/>
  <c r="K628" i="5"/>
  <c r="K580" i="10"/>
  <c r="K149" i="11"/>
  <c r="L294" i="11"/>
  <c r="O294" i="11" s="1"/>
  <c r="K401" i="13"/>
  <c r="K421" i="13"/>
  <c r="K425" i="13"/>
  <c r="K464" i="13"/>
  <c r="O383" i="4"/>
  <c r="K397" i="4"/>
  <c r="O401" i="4"/>
  <c r="K285" i="5"/>
  <c r="K499" i="7"/>
  <c r="O601" i="7"/>
  <c r="K264" i="8"/>
  <c r="K623" i="10"/>
  <c r="L57" i="11"/>
  <c r="L55" i="11" s="1"/>
  <c r="K593" i="11"/>
  <c r="K189" i="12"/>
  <c r="O582" i="2"/>
  <c r="N273" i="7"/>
  <c r="N271" i="7" s="1"/>
  <c r="N312" i="16"/>
  <c r="N310" i="16" s="1"/>
  <c r="J284" i="1"/>
  <c r="M333" i="1"/>
  <c r="I340" i="1"/>
  <c r="J365" i="1"/>
  <c r="J425" i="1"/>
  <c r="J464" i="1"/>
  <c r="K628" i="11"/>
  <c r="K632" i="11"/>
  <c r="K113" i="12"/>
  <c r="K235" i="14"/>
  <c r="L279" i="1"/>
  <c r="O279" i="1" s="1"/>
  <c r="K341" i="8"/>
  <c r="K345" i="8"/>
  <c r="O349" i="8"/>
  <c r="K633" i="8"/>
  <c r="P275" i="18"/>
  <c r="N126" i="1"/>
  <c r="J133" i="1"/>
  <c r="J82" i="1"/>
  <c r="J446" i="1"/>
  <c r="N455" i="1"/>
  <c r="K370" i="4"/>
  <c r="K396" i="4"/>
  <c r="K401" i="4"/>
  <c r="I532" i="1"/>
  <c r="I591" i="1"/>
  <c r="I623" i="1"/>
  <c r="K628" i="4"/>
  <c r="K632" i="4"/>
  <c r="K133" i="6"/>
  <c r="J158" i="1"/>
  <c r="J196" i="1"/>
  <c r="L45" i="11"/>
  <c r="O45" i="11" s="1"/>
  <c r="K372" i="13"/>
  <c r="O435" i="13"/>
  <c r="J114" i="1"/>
  <c r="K111" i="6"/>
  <c r="K82" i="8"/>
  <c r="K92" i="8"/>
  <c r="L144" i="8"/>
  <c r="L142" i="8" s="1"/>
  <c r="K200" i="8"/>
  <c r="K216" i="8"/>
  <c r="P224" i="9"/>
  <c r="K424" i="10"/>
  <c r="K428" i="10"/>
  <c r="K432" i="10"/>
  <c r="O457" i="10"/>
  <c r="O597" i="11"/>
  <c r="L275" i="12"/>
  <c r="L273" i="12" s="1"/>
  <c r="L271" i="12" s="1"/>
  <c r="K285" i="12"/>
  <c r="I249" i="1"/>
  <c r="J234" i="1"/>
  <c r="J241" i="1"/>
  <c r="K580" i="3"/>
  <c r="K589" i="3"/>
  <c r="K617" i="5"/>
  <c r="K117" i="11"/>
  <c r="I235" i="1"/>
  <c r="J401" i="1"/>
  <c r="J417" i="1"/>
  <c r="J429" i="1"/>
  <c r="J455" i="1"/>
  <c r="N312" i="4"/>
  <c r="N310" i="4" s="1"/>
  <c r="O535" i="10"/>
  <c r="O566" i="3"/>
  <c r="N120" i="4"/>
  <c r="N118" i="4" s="1"/>
  <c r="L57" i="6"/>
  <c r="L55" i="6" s="1"/>
  <c r="K377" i="8"/>
  <c r="K381" i="8"/>
  <c r="O385" i="8"/>
  <c r="N273" i="10"/>
  <c r="N271" i="10" s="1"/>
  <c r="N254" i="1"/>
  <c r="L314" i="12"/>
  <c r="L312" i="12" s="1"/>
  <c r="O601" i="12"/>
  <c r="N292" i="15"/>
  <c r="N290" i="15" s="1"/>
  <c r="K117" i="2"/>
  <c r="K132" i="2"/>
  <c r="K450" i="3"/>
  <c r="K455" i="3"/>
  <c r="K630" i="5"/>
  <c r="K634" i="5"/>
  <c r="K199" i="7"/>
  <c r="O580" i="8"/>
  <c r="L145" i="1"/>
  <c r="I402" i="1"/>
  <c r="L224" i="13"/>
  <c r="L222" i="13" s="1"/>
  <c r="L220" i="13" s="1"/>
  <c r="L254" i="13"/>
  <c r="O254" i="13" s="1"/>
  <c r="K497" i="16"/>
  <c r="K401" i="17"/>
  <c r="K421" i="17"/>
  <c r="O437" i="17"/>
  <c r="L294" i="18"/>
  <c r="L292" i="18" s="1"/>
  <c r="M122" i="1"/>
  <c r="J130" i="1"/>
  <c r="I516" i="1"/>
  <c r="I524" i="1"/>
  <c r="J594" i="1"/>
  <c r="J476" i="1"/>
  <c r="K370" i="8"/>
  <c r="J92" i="1"/>
  <c r="I368" i="1"/>
  <c r="I630" i="1"/>
  <c r="K419" i="10"/>
  <c r="L294" i="13"/>
  <c r="L292" i="13" s="1"/>
  <c r="K593" i="14"/>
  <c r="K83" i="15"/>
  <c r="K633" i="15"/>
  <c r="I213" i="1"/>
  <c r="L552" i="1"/>
  <c r="O552" i="1" s="1"/>
  <c r="N74" i="1"/>
  <c r="M26" i="17"/>
  <c r="M16" i="17" s="1"/>
  <c r="K285" i="2"/>
  <c r="J155" i="1"/>
  <c r="K264" i="4"/>
  <c r="K328" i="4"/>
  <c r="K341" i="4"/>
  <c r="O349" i="4"/>
  <c r="L46" i="1"/>
  <c r="O566" i="15"/>
  <c r="K82" i="18"/>
  <c r="J267" i="1"/>
  <c r="J373" i="1"/>
  <c r="J424" i="1"/>
  <c r="K432" i="3"/>
  <c r="I367" i="7"/>
  <c r="K367" i="7" s="1"/>
  <c r="K591" i="11"/>
  <c r="N68" i="14"/>
  <c r="N66" i="14" s="1"/>
  <c r="I518" i="1"/>
  <c r="I522" i="1"/>
  <c r="I530" i="1"/>
  <c r="L533" i="1"/>
  <c r="I551" i="1"/>
  <c r="J238" i="1"/>
  <c r="K189" i="11"/>
  <c r="K200" i="11"/>
  <c r="K613" i="14"/>
  <c r="K631" i="17"/>
  <c r="I488" i="1"/>
  <c r="K488" i="1" s="1"/>
  <c r="J372" i="1"/>
  <c r="J376" i="1"/>
  <c r="N406" i="1"/>
  <c r="K431" i="2"/>
  <c r="J486" i="1"/>
  <c r="K368" i="6"/>
  <c r="K533" i="11"/>
  <c r="K229" i="16"/>
  <c r="I500" i="1"/>
  <c r="K500" i="1" s="1"/>
  <c r="L70" i="2"/>
  <c r="J281" i="1"/>
  <c r="K451" i="3"/>
  <c r="O566" i="5"/>
  <c r="O597" i="5"/>
  <c r="L124" i="1"/>
  <c r="I158" i="1"/>
  <c r="J260" i="1"/>
  <c r="L277" i="1"/>
  <c r="K328" i="7"/>
  <c r="K349" i="7"/>
  <c r="O352" i="7"/>
  <c r="K199" i="8"/>
  <c r="K204" i="8"/>
  <c r="K215" i="8"/>
  <c r="N252" i="9"/>
  <c r="N250" i="9" s="1"/>
  <c r="N292" i="9"/>
  <c r="N290" i="9" s="1"/>
  <c r="O401" i="9"/>
  <c r="O564" i="9"/>
  <c r="O568" i="9"/>
  <c r="K345" i="10"/>
  <c r="K497" i="10"/>
  <c r="K377" i="12"/>
  <c r="K381" i="12"/>
  <c r="K420" i="12"/>
  <c r="K428" i="12"/>
  <c r="K449" i="12"/>
  <c r="K111" i="14"/>
  <c r="O568" i="14"/>
  <c r="K629" i="14"/>
  <c r="K398" i="16"/>
  <c r="K402" i="16"/>
  <c r="K423" i="16"/>
  <c r="K431" i="16"/>
  <c r="O435" i="16"/>
  <c r="O439" i="16"/>
  <c r="N122" i="1"/>
  <c r="I350" i="1"/>
  <c r="I514" i="1"/>
  <c r="K514" i="1" s="1"/>
  <c r="L582" i="1"/>
  <c r="J65" i="1"/>
  <c r="J149" i="1"/>
  <c r="J160" i="1"/>
  <c r="J181" i="1"/>
  <c r="J263" i="1"/>
  <c r="J342" i="1"/>
  <c r="J346" i="1"/>
  <c r="K343" i="3"/>
  <c r="J156" i="1"/>
  <c r="J163" i="1"/>
  <c r="J189" i="1"/>
  <c r="J200" i="1"/>
  <c r="J210" i="1"/>
  <c r="J216" i="1"/>
  <c r="I229" i="1"/>
  <c r="J269" i="1"/>
  <c r="L99" i="1"/>
  <c r="K132" i="5"/>
  <c r="N148" i="1"/>
  <c r="P148" i="1" s="1"/>
  <c r="J169" i="1"/>
  <c r="J246" i="1"/>
  <c r="N536" i="1"/>
  <c r="I372" i="1"/>
  <c r="I376" i="1"/>
  <c r="K628" i="8"/>
  <c r="K589" i="10"/>
  <c r="O597" i="15"/>
  <c r="O601" i="15"/>
  <c r="K633" i="17"/>
  <c r="K164" i="18"/>
  <c r="N273" i="18"/>
  <c r="N271" i="18" s="1"/>
  <c r="O437" i="18"/>
  <c r="J131" i="1"/>
  <c r="J377" i="1"/>
  <c r="J420" i="1"/>
  <c r="J449" i="1"/>
  <c r="J471" i="1"/>
  <c r="I531" i="1"/>
  <c r="L551" i="1"/>
  <c r="I65" i="1"/>
  <c r="J112" i="1"/>
  <c r="K597" i="7"/>
  <c r="K267" i="8"/>
  <c r="K343" i="12"/>
  <c r="O404" i="12"/>
  <c r="N312" i="17"/>
  <c r="N310" i="17" s="1"/>
  <c r="N228" i="1"/>
  <c r="K422" i="3"/>
  <c r="K430" i="3"/>
  <c r="I133" i="1"/>
  <c r="O347" i="9"/>
  <c r="K547" i="9"/>
  <c r="O580" i="9"/>
  <c r="K450" i="10"/>
  <c r="K621" i="10"/>
  <c r="K111" i="17"/>
  <c r="K92" i="18"/>
  <c r="N96" i="18"/>
  <c r="N94" i="18" s="1"/>
  <c r="K219" i="18"/>
  <c r="N273" i="2"/>
  <c r="N271" i="2" s="1"/>
  <c r="I626" i="1"/>
  <c r="I635" i="1"/>
  <c r="N314" i="1"/>
  <c r="I219" i="1"/>
  <c r="K612" i="9"/>
  <c r="L61" i="1"/>
  <c r="O61" i="1" s="1"/>
  <c r="J106" i="1"/>
  <c r="L123" i="1"/>
  <c r="J157" i="1"/>
  <c r="I164" i="1"/>
  <c r="J328" i="1"/>
  <c r="N333" i="1"/>
  <c r="N358" i="1"/>
  <c r="J366" i="1"/>
  <c r="I380" i="1"/>
  <c r="L383" i="1"/>
  <c r="N388" i="1"/>
  <c r="I397" i="1"/>
  <c r="L401" i="1"/>
  <c r="J412" i="1"/>
  <c r="I426" i="1"/>
  <c r="L455" i="1"/>
  <c r="O455" i="1" s="1"/>
  <c r="I465" i="1"/>
  <c r="I473" i="1"/>
  <c r="J520" i="1"/>
  <c r="N535" i="1"/>
  <c r="N557" i="1"/>
  <c r="J564" i="1"/>
  <c r="N585" i="1"/>
  <c r="M45" i="1"/>
  <c r="J78" i="1"/>
  <c r="K83" i="3"/>
  <c r="J286" i="1"/>
  <c r="K372" i="3"/>
  <c r="K376" i="3"/>
  <c r="K423" i="3"/>
  <c r="K431" i="3"/>
  <c r="J266" i="1"/>
  <c r="K634" i="8"/>
  <c r="K564" i="10"/>
  <c r="K573" i="10"/>
  <c r="K591" i="10"/>
  <c r="K229" i="11"/>
  <c r="O352" i="11"/>
  <c r="K419" i="14"/>
  <c r="K423" i="14"/>
  <c r="K427" i="14"/>
  <c r="K431" i="14"/>
  <c r="O599" i="15"/>
  <c r="K629" i="15"/>
  <c r="K199" i="18"/>
  <c r="L380" i="1"/>
  <c r="J86" i="1"/>
  <c r="J185" i="1"/>
  <c r="M224" i="1"/>
  <c r="J245" i="1"/>
  <c r="J285" i="1"/>
  <c r="J447" i="1"/>
  <c r="K450" i="4"/>
  <c r="K633" i="9"/>
  <c r="K629" i="11"/>
  <c r="K633" i="11"/>
  <c r="N292" i="13"/>
  <c r="N290" i="13" s="1"/>
  <c r="K349" i="13"/>
  <c r="N407" i="1"/>
  <c r="K138" i="4"/>
  <c r="I398" i="1"/>
  <c r="O401" i="8"/>
  <c r="K426" i="8"/>
  <c r="L70" i="10"/>
  <c r="L68" i="10" s="1"/>
  <c r="K80" i="10"/>
  <c r="K164" i="10"/>
  <c r="L98" i="11"/>
  <c r="O98" i="11" s="1"/>
  <c r="K164" i="11"/>
  <c r="K185" i="11"/>
  <c r="K267" i="11"/>
  <c r="K474" i="12"/>
  <c r="O383" i="13"/>
  <c r="O455" i="13"/>
  <c r="K377" i="14"/>
  <c r="L70" i="16"/>
  <c r="O70" i="16" s="1"/>
  <c r="K133" i="16"/>
  <c r="K341" i="17"/>
  <c r="K189" i="18"/>
  <c r="K200" i="18"/>
  <c r="K109" i="2"/>
  <c r="I109" i="1"/>
  <c r="N292" i="2"/>
  <c r="N290" i="2" s="1"/>
  <c r="J304" i="1"/>
  <c r="J340" i="1"/>
  <c r="J349" i="1"/>
  <c r="N602" i="1"/>
  <c r="L59" i="1"/>
  <c r="L72" i="1"/>
  <c r="J80" i="1"/>
  <c r="J117" i="1"/>
  <c r="O600" i="2"/>
  <c r="L600" i="1"/>
  <c r="O600" i="1" s="1"/>
  <c r="K613" i="3"/>
  <c r="K611" i="3"/>
  <c r="O126" i="6"/>
  <c r="L126" i="1"/>
  <c r="O126" i="1" s="1"/>
  <c r="K186" i="6"/>
  <c r="I186" i="1"/>
  <c r="L102" i="1"/>
  <c r="I132" i="1"/>
  <c r="N347" i="1"/>
  <c r="I111" i="1"/>
  <c r="O597" i="2"/>
  <c r="N597" i="1"/>
  <c r="J618" i="1"/>
  <c r="J622" i="1"/>
  <c r="J626" i="1"/>
  <c r="J631" i="1"/>
  <c r="I64" i="1"/>
  <c r="I81" i="1"/>
  <c r="I85" i="1"/>
  <c r="J89" i="1"/>
  <c r="N102" i="1"/>
  <c r="J109" i="1"/>
  <c r="K82" i="2"/>
  <c r="I82" i="1"/>
  <c r="O148" i="2"/>
  <c r="L148" i="1"/>
  <c r="K238" i="2"/>
  <c r="I238" i="1"/>
  <c r="K238" i="1" s="1"/>
  <c r="O435" i="3"/>
  <c r="K478" i="3"/>
  <c r="I478" i="1"/>
  <c r="K478" i="1" s="1"/>
  <c r="K309" i="5"/>
  <c r="I309" i="1"/>
  <c r="K431" i="5"/>
  <c r="I431" i="1"/>
  <c r="J504" i="1"/>
  <c r="N386" i="1"/>
  <c r="I396" i="1"/>
  <c r="L437" i="1"/>
  <c r="N294" i="1"/>
  <c r="J303" i="1"/>
  <c r="J282" i="1"/>
  <c r="J289" i="1"/>
  <c r="K491" i="3"/>
  <c r="I491" i="1"/>
  <c r="K491" i="1" s="1"/>
  <c r="M144" i="1"/>
  <c r="J188" i="1"/>
  <c r="J199" i="1"/>
  <c r="J204" i="1"/>
  <c r="J215" i="1"/>
  <c r="J483" i="1"/>
  <c r="J491" i="1"/>
  <c r="J503" i="1"/>
  <c r="N572" i="1"/>
  <c r="J590" i="1"/>
  <c r="N61" i="1"/>
  <c r="J81" i="1"/>
  <c r="J128" i="1"/>
  <c r="J134" i="1"/>
  <c r="J170" i="1"/>
  <c r="J186" i="1"/>
  <c r="L256" i="1"/>
  <c r="I529" i="1"/>
  <c r="L568" i="1"/>
  <c r="J104" i="1"/>
  <c r="I110" i="1"/>
  <c r="J301" i="1"/>
  <c r="J320" i="1"/>
  <c r="J375" i="1"/>
  <c r="J380" i="1"/>
  <c r="N383" i="1"/>
  <c r="J413" i="1"/>
  <c r="J418" i="1"/>
  <c r="J422" i="1"/>
  <c r="J430" i="1"/>
  <c r="J435" i="1"/>
  <c r="J472" i="1"/>
  <c r="N581" i="1"/>
  <c r="N598" i="1"/>
  <c r="N603" i="1"/>
  <c r="N554" i="1"/>
  <c r="J77" i="1"/>
  <c r="J235" i="1"/>
  <c r="J243" i="1"/>
  <c r="K265" i="3"/>
  <c r="M312" i="3"/>
  <c r="P312" i="3" s="1"/>
  <c r="K340" i="3"/>
  <c r="K631" i="3"/>
  <c r="O535" i="4"/>
  <c r="K595" i="5"/>
  <c r="L224" i="6"/>
  <c r="O224" i="6" s="1"/>
  <c r="K420" i="6"/>
  <c r="K428" i="6"/>
  <c r="K498" i="6"/>
  <c r="K108" i="7"/>
  <c r="K149" i="7"/>
  <c r="J364" i="1"/>
  <c r="K377" i="7"/>
  <c r="K381" i="7"/>
  <c r="L385" i="1"/>
  <c r="I416" i="1"/>
  <c r="I424" i="1"/>
  <c r="I428" i="1"/>
  <c r="I432" i="1"/>
  <c r="I449" i="1"/>
  <c r="J510" i="1"/>
  <c r="J522" i="1"/>
  <c r="J526" i="1"/>
  <c r="N533" i="1"/>
  <c r="J551" i="1"/>
  <c r="K580" i="7"/>
  <c r="K108" i="8"/>
  <c r="K368" i="8"/>
  <c r="O459" i="8"/>
  <c r="K349" i="9"/>
  <c r="K421" i="9"/>
  <c r="K564" i="9"/>
  <c r="K573" i="9"/>
  <c r="K631" i="10"/>
  <c r="K235" i="11"/>
  <c r="K427" i="11"/>
  <c r="K92" i="12"/>
  <c r="K235" i="12"/>
  <c r="K149" i="13"/>
  <c r="K432" i="13"/>
  <c r="O566" i="13"/>
  <c r="O580" i="13"/>
  <c r="K631" i="13"/>
  <c r="K92" i="14"/>
  <c r="P144" i="14"/>
  <c r="K88" i="15"/>
  <c r="K117" i="15"/>
  <c r="P148" i="15"/>
  <c r="L98" i="16"/>
  <c r="L96" i="16" s="1"/>
  <c r="O96" i="16" s="1"/>
  <c r="L333" i="16"/>
  <c r="O333" i="16" s="1"/>
  <c r="K397" i="16"/>
  <c r="O401" i="16"/>
  <c r="K418" i="16"/>
  <c r="K430" i="16"/>
  <c r="K435" i="16"/>
  <c r="K377" i="17"/>
  <c r="O385" i="17"/>
  <c r="K420" i="17"/>
  <c r="K449" i="17"/>
  <c r="O457" i="17"/>
  <c r="K547" i="17"/>
  <c r="P224" i="18"/>
  <c r="P254" i="18"/>
  <c r="K267" i="18"/>
  <c r="J111" i="1"/>
  <c r="N538" i="1"/>
  <c r="I547" i="1"/>
  <c r="J597" i="1"/>
  <c r="J88" i="1"/>
  <c r="J113" i="1"/>
  <c r="J135" i="1"/>
  <c r="N144" i="1"/>
  <c r="J162" i="1"/>
  <c r="I173" i="1"/>
  <c r="J183" i="1"/>
  <c r="I189" i="1"/>
  <c r="J209" i="1"/>
  <c r="I216" i="1"/>
  <c r="L276" i="1"/>
  <c r="I285" i="1"/>
  <c r="L597" i="1"/>
  <c r="J171" i="1"/>
  <c r="J217" i="1"/>
  <c r="N279" i="1"/>
  <c r="J287" i="1"/>
  <c r="J308" i="1"/>
  <c r="O349" i="9"/>
  <c r="N33" i="9"/>
  <c r="N13" i="9" s="1"/>
  <c r="J361" i="1"/>
  <c r="K422" i="10"/>
  <c r="J465" i="1"/>
  <c r="K270" i="12"/>
  <c r="K425" i="14"/>
  <c r="K455" i="14"/>
  <c r="O459" i="16"/>
  <c r="J107" i="1"/>
  <c r="J129" i="1"/>
  <c r="J619" i="1"/>
  <c r="J628" i="1"/>
  <c r="J632" i="1"/>
  <c r="J64" i="1"/>
  <c r="J87" i="1"/>
  <c r="J93" i="1"/>
  <c r="I108" i="1"/>
  <c r="K466" i="4"/>
  <c r="I474" i="1"/>
  <c r="J485" i="1"/>
  <c r="K533" i="4"/>
  <c r="O568" i="4"/>
  <c r="I527" i="1"/>
  <c r="I593" i="1"/>
  <c r="I597" i="1"/>
  <c r="J607" i="1"/>
  <c r="I613" i="1"/>
  <c r="I328" i="1"/>
  <c r="L334" i="1"/>
  <c r="J495" i="1"/>
  <c r="J499" i="1"/>
  <c r="N580" i="1"/>
  <c r="O584" i="7"/>
  <c r="N96" i="9"/>
  <c r="N94" i="9" s="1"/>
  <c r="J132" i="1"/>
  <c r="J195" i="1"/>
  <c r="J218" i="1"/>
  <c r="J231" i="1"/>
  <c r="J323" i="1"/>
  <c r="K481" i="9"/>
  <c r="O439" i="10"/>
  <c r="K112" i="12"/>
  <c r="L122" i="12"/>
  <c r="O122" i="12" s="1"/>
  <c r="L144" i="14"/>
  <c r="O144" i="14" s="1"/>
  <c r="N252" i="16"/>
  <c r="N250" i="16" s="1"/>
  <c r="K108" i="17"/>
  <c r="K112" i="17"/>
  <c r="O535" i="17"/>
  <c r="O597" i="17"/>
  <c r="N98" i="1"/>
  <c r="J573" i="1"/>
  <c r="J84" i="1"/>
  <c r="N45" i="1"/>
  <c r="N68" i="2"/>
  <c r="N66" i="2" s="1"/>
  <c r="J79" i="1"/>
  <c r="I324" i="1"/>
  <c r="I482" i="1"/>
  <c r="K350" i="3"/>
  <c r="O582" i="3"/>
  <c r="I616" i="1"/>
  <c r="K213" i="4"/>
  <c r="K266" i="4"/>
  <c r="K402" i="4"/>
  <c r="K498" i="4"/>
  <c r="O533" i="4"/>
  <c r="J76" i="1"/>
  <c r="J85" i="1"/>
  <c r="L146" i="1"/>
  <c r="J174" i="1"/>
  <c r="J194" i="1"/>
  <c r="J211" i="1"/>
  <c r="J229" i="1"/>
  <c r="J237" i="1"/>
  <c r="J244" i="1"/>
  <c r="N258" i="1"/>
  <c r="K270" i="5"/>
  <c r="O404" i="5"/>
  <c r="N408" i="1"/>
  <c r="J416" i="1"/>
  <c r="J428" i="1"/>
  <c r="J432" i="1"/>
  <c r="I117" i="1"/>
  <c r="K117" i="1" s="1"/>
  <c r="P122" i="6"/>
  <c r="J138" i="1"/>
  <c r="N273" i="6"/>
  <c r="N271" i="6" s="1"/>
  <c r="N298" i="1"/>
  <c r="J321" i="1"/>
  <c r="K164" i="7"/>
  <c r="K345" i="7"/>
  <c r="K573" i="7"/>
  <c r="K110" i="8"/>
  <c r="K265" i="8"/>
  <c r="N142" i="9"/>
  <c r="N140" i="9" s="1"/>
  <c r="O533" i="10"/>
  <c r="K551" i="10"/>
  <c r="L333" i="13"/>
  <c r="L331" i="13" s="1"/>
  <c r="K345" i="14"/>
  <c r="O349" i="14"/>
  <c r="K343" i="16"/>
  <c r="O347" i="16"/>
  <c r="K416" i="16"/>
  <c r="K420" i="16"/>
  <c r="K424" i="16"/>
  <c r="K432" i="16"/>
  <c r="K580" i="16"/>
  <c r="K593" i="16"/>
  <c r="K199" i="17"/>
  <c r="K497" i="17"/>
  <c r="O337" i="18"/>
  <c r="K381" i="18"/>
  <c r="K420" i="18"/>
  <c r="K617" i="11"/>
  <c r="N96" i="13"/>
  <c r="N94" i="13" s="1"/>
  <c r="N120" i="16"/>
  <c r="N118" i="16" s="1"/>
  <c r="N252" i="18"/>
  <c r="N250" i="18" s="1"/>
  <c r="I306" i="1"/>
  <c r="K343" i="2"/>
  <c r="K424" i="2"/>
  <c r="K264" i="3"/>
  <c r="O347" i="4"/>
  <c r="K450" i="5"/>
  <c r="K108" i="6"/>
  <c r="N331" i="6"/>
  <c r="N329" i="6" s="1"/>
  <c r="K377" i="6"/>
  <c r="K419" i="6"/>
  <c r="K431" i="6"/>
  <c r="K497" i="6"/>
  <c r="K533" i="6"/>
  <c r="O564" i="6"/>
  <c r="K64" i="7"/>
  <c r="K92" i="7"/>
  <c r="K219" i="7"/>
  <c r="N292" i="7"/>
  <c r="N290" i="7" s="1"/>
  <c r="O599" i="7"/>
  <c r="K111" i="8"/>
  <c r="L122" i="8"/>
  <c r="L120" i="8" s="1"/>
  <c r="K164" i="8"/>
  <c r="O352" i="8"/>
  <c r="K425" i="8"/>
  <c r="K429" i="8"/>
  <c r="K580" i="8"/>
  <c r="K597" i="8"/>
  <c r="K199" i="9"/>
  <c r="O551" i="10"/>
  <c r="O555" i="10"/>
  <c r="O383" i="11"/>
  <c r="K473" i="11"/>
  <c r="L70" i="13"/>
  <c r="O70" i="13" s="1"/>
  <c r="L98" i="13"/>
  <c r="O98" i="13" s="1"/>
  <c r="P57" i="14"/>
  <c r="K580" i="14"/>
  <c r="K341" i="15"/>
  <c r="O349" i="15"/>
  <c r="O564" i="15"/>
  <c r="K132" i="16"/>
  <c r="K173" i="16"/>
  <c r="K396" i="16"/>
  <c r="K401" i="16"/>
  <c r="K417" i="16"/>
  <c r="K425" i="16"/>
  <c r="K372" i="17"/>
  <c r="K376" i="17"/>
  <c r="O380" i="17"/>
  <c r="K398" i="17"/>
  <c r="K419" i="17"/>
  <c r="K427" i="17"/>
  <c r="K110" i="18"/>
  <c r="K266" i="18"/>
  <c r="O404" i="18"/>
  <c r="K449" i="18"/>
  <c r="M57" i="1"/>
  <c r="M55" i="1" s="1"/>
  <c r="M53" i="1" s="1"/>
  <c r="I490" i="1"/>
  <c r="K490" i="1" s="1"/>
  <c r="I503" i="1"/>
  <c r="K503" i="1" s="1"/>
  <c r="N582" i="1"/>
  <c r="O582" i="1" s="1"/>
  <c r="I517" i="1"/>
  <c r="I521" i="1"/>
  <c r="I525" i="1"/>
  <c r="I533" i="1"/>
  <c r="J549" i="1"/>
  <c r="N567" i="1"/>
  <c r="O384" i="3"/>
  <c r="L33" i="3"/>
  <c r="O33" i="3" s="1"/>
  <c r="K87" i="4"/>
  <c r="K93" i="4"/>
  <c r="K380" i="4"/>
  <c r="J616" i="1"/>
  <c r="K634" i="6"/>
  <c r="L70" i="7"/>
  <c r="L68" i="7" s="1"/>
  <c r="K80" i="7"/>
  <c r="K113" i="7"/>
  <c r="I367" i="9"/>
  <c r="K367" i="9" s="1"/>
  <c r="K110" i="12"/>
  <c r="I83" i="1"/>
  <c r="N318" i="1"/>
  <c r="I479" i="1"/>
  <c r="K479" i="1" s="1"/>
  <c r="I590" i="1"/>
  <c r="K590" i="1" s="1"/>
  <c r="N353" i="1"/>
  <c r="I401" i="1"/>
  <c r="K401" i="1" s="1"/>
  <c r="J576" i="1"/>
  <c r="K499" i="6"/>
  <c r="P57" i="2"/>
  <c r="L71" i="1"/>
  <c r="I138" i="1"/>
  <c r="L354" i="1"/>
  <c r="I373" i="1"/>
  <c r="K373" i="1" s="1"/>
  <c r="I425" i="1"/>
  <c r="I472" i="1"/>
  <c r="K472" i="1" s="1"/>
  <c r="I492" i="1"/>
  <c r="K492" i="1" s="1"/>
  <c r="L554" i="1"/>
  <c r="O554" i="1" s="1"/>
  <c r="I575" i="1"/>
  <c r="K575" i="1" s="1"/>
  <c r="L57" i="2"/>
  <c r="L55" i="2" s="1"/>
  <c r="L53" i="2" s="1"/>
  <c r="J393" i="1"/>
  <c r="J453" i="1"/>
  <c r="N462" i="1"/>
  <c r="J452" i="1"/>
  <c r="J478" i="1"/>
  <c r="K428" i="11"/>
  <c r="L275" i="13"/>
  <c r="L273" i="13" s="1"/>
  <c r="M70" i="1"/>
  <c r="I84" i="1"/>
  <c r="L337" i="1"/>
  <c r="M337" i="1" s="1"/>
  <c r="I80" i="1"/>
  <c r="I289" i="1"/>
  <c r="I417" i="1"/>
  <c r="K417" i="1" s="1"/>
  <c r="I484" i="1"/>
  <c r="K484" i="1" s="1"/>
  <c r="I495" i="1"/>
  <c r="K495" i="1" s="1"/>
  <c r="I511" i="1"/>
  <c r="K511" i="1" s="1"/>
  <c r="I579" i="1"/>
  <c r="K579" i="1" s="1"/>
  <c r="I633" i="1"/>
  <c r="J326" i="1"/>
  <c r="I519" i="1"/>
  <c r="I523" i="1"/>
  <c r="I625" i="1"/>
  <c r="L404" i="1"/>
  <c r="N440" i="1"/>
  <c r="I381" i="1"/>
  <c r="L98" i="9"/>
  <c r="L96" i="9" s="1"/>
  <c r="O337" i="10"/>
  <c r="I88" i="1"/>
  <c r="L228" i="1"/>
  <c r="O228" i="1" s="1"/>
  <c r="I467" i="1"/>
  <c r="K467" i="1" s="1"/>
  <c r="I628" i="1"/>
  <c r="L315" i="1"/>
  <c r="J187" i="1"/>
  <c r="J362" i="1"/>
  <c r="N565" i="1"/>
  <c r="I113" i="1"/>
  <c r="I149" i="1"/>
  <c r="K149" i="1" s="1"/>
  <c r="I244" i="1"/>
  <c r="K244" i="1" s="1"/>
  <c r="L436" i="1"/>
  <c r="O436" i="1" s="1"/>
  <c r="I560" i="1"/>
  <c r="J90" i="1"/>
  <c r="J487" i="1"/>
  <c r="I343" i="1"/>
  <c r="L351" i="1"/>
  <c r="O351" i="1" s="1"/>
  <c r="N355" i="1"/>
  <c r="J369" i="1"/>
  <c r="O582" i="7"/>
  <c r="O437" i="8"/>
  <c r="K450" i="8"/>
  <c r="N34" i="10"/>
  <c r="N14" i="10" s="1"/>
  <c r="M312" i="8"/>
  <c r="P312" i="8" s="1"/>
  <c r="P314" i="8"/>
  <c r="N587" i="1"/>
  <c r="I199" i="1"/>
  <c r="J368" i="1"/>
  <c r="N583" i="1"/>
  <c r="L74" i="1"/>
  <c r="I86" i="1"/>
  <c r="I346" i="1"/>
  <c r="K346" i="1" s="1"/>
  <c r="I564" i="1"/>
  <c r="J480" i="1"/>
  <c r="J484" i="1"/>
  <c r="K111" i="3"/>
  <c r="J236" i="1"/>
  <c r="K402" i="5"/>
  <c r="O533" i="7"/>
  <c r="K634" i="10"/>
  <c r="K186" i="11"/>
  <c r="K219" i="11"/>
  <c r="K375" i="12"/>
  <c r="K380" i="12"/>
  <c r="O383" i="12"/>
  <c r="K426" i="12"/>
  <c r="K430" i="12"/>
  <c r="K435" i="12"/>
  <c r="O535" i="12"/>
  <c r="K564" i="12"/>
  <c r="K611" i="12"/>
  <c r="K580" i="13"/>
  <c r="K589" i="13"/>
  <c r="K630" i="13"/>
  <c r="J265" i="1"/>
  <c r="J270" i="1"/>
  <c r="N441" i="1"/>
  <c r="N457" i="1"/>
  <c r="N463" i="1"/>
  <c r="J467" i="1"/>
  <c r="J475" i="1"/>
  <c r="J479" i="1"/>
  <c r="J490" i="1"/>
  <c r="I498" i="1"/>
  <c r="J513" i="1"/>
  <c r="J164" i="1"/>
  <c r="J175" i="1"/>
  <c r="J201" i="1"/>
  <c r="K328" i="3"/>
  <c r="N357" i="1"/>
  <c r="K430" i="4"/>
  <c r="J468" i="1"/>
  <c r="K547" i="4"/>
  <c r="K621" i="4"/>
  <c r="J451" i="1"/>
  <c r="N459" i="1"/>
  <c r="J469" i="1"/>
  <c r="J481" i="1"/>
  <c r="J527" i="1"/>
  <c r="J547" i="1"/>
  <c r="O49" i="7"/>
  <c r="N252" i="7"/>
  <c r="N250" i="7" s="1"/>
  <c r="K589" i="7"/>
  <c r="L294" i="8"/>
  <c r="O294" i="8" s="1"/>
  <c r="N312" i="8"/>
  <c r="N310" i="8" s="1"/>
  <c r="L314" i="9"/>
  <c r="O314" i="9" s="1"/>
  <c r="K380" i="9"/>
  <c r="O383" i="9"/>
  <c r="K422" i="9"/>
  <c r="N252" i="10"/>
  <c r="N250" i="10" s="1"/>
  <c r="N292" i="10"/>
  <c r="N290" i="10" s="1"/>
  <c r="O347" i="10"/>
  <c r="K466" i="10"/>
  <c r="K429" i="13"/>
  <c r="N33" i="14"/>
  <c r="N13" i="14" s="1"/>
  <c r="O435" i="14"/>
  <c r="K466" i="14"/>
  <c r="K345" i="15"/>
  <c r="O533" i="15"/>
  <c r="O568" i="15"/>
  <c r="K628" i="15"/>
  <c r="O564" i="17"/>
  <c r="O568" i="17"/>
  <c r="N68" i="18"/>
  <c r="P68" i="18" s="1"/>
  <c r="K87" i="18"/>
  <c r="K108" i="18"/>
  <c r="N222" i="18"/>
  <c r="N220" i="18" s="1"/>
  <c r="O383" i="18"/>
  <c r="K426" i="18"/>
  <c r="J232" i="1"/>
  <c r="J261" i="1"/>
  <c r="P314" i="2"/>
  <c r="L333" i="2"/>
  <c r="O333" i="2" s="1"/>
  <c r="I421" i="1"/>
  <c r="I429" i="1"/>
  <c r="J433" i="1"/>
  <c r="N442" i="1"/>
  <c r="J494" i="1"/>
  <c r="J502" i="1"/>
  <c r="N588" i="1"/>
  <c r="I612" i="1"/>
  <c r="N380" i="1"/>
  <c r="J392" i="1"/>
  <c r="I427" i="1"/>
  <c r="K431" i="4"/>
  <c r="O435" i="4"/>
  <c r="O455" i="4"/>
  <c r="L459" i="1"/>
  <c r="K465" i="4"/>
  <c r="L225" i="1"/>
  <c r="K340" i="5"/>
  <c r="O533" i="5"/>
  <c r="L254" i="6"/>
  <c r="O254" i="6" s="1"/>
  <c r="K631" i="6"/>
  <c r="N120" i="7"/>
  <c r="N118" i="7" s="1"/>
  <c r="K421" i="7"/>
  <c r="O437" i="7"/>
  <c r="N120" i="8"/>
  <c r="N118" i="8" s="1"/>
  <c r="K350" i="8"/>
  <c r="O380" i="8"/>
  <c r="K398" i="8"/>
  <c r="K398" i="9"/>
  <c r="K402" i="9"/>
  <c r="K466" i="9"/>
  <c r="O564" i="10"/>
  <c r="K93" i="12"/>
  <c r="P98" i="12"/>
  <c r="K372" i="12"/>
  <c r="K419" i="12"/>
  <c r="K466" i="12"/>
  <c r="K397" i="13"/>
  <c r="O535" i="13"/>
  <c r="L314" i="14"/>
  <c r="L312" i="14" s="1"/>
  <c r="O354" i="14"/>
  <c r="K149" i="15"/>
  <c r="K498" i="16"/>
  <c r="O354" i="17"/>
  <c r="K482" i="17"/>
  <c r="J83" i="1"/>
  <c r="K149" i="2"/>
  <c r="J159" i="1"/>
  <c r="J176" i="1"/>
  <c r="J219" i="1"/>
  <c r="J374" i="1"/>
  <c r="J379" i="1"/>
  <c r="N382" i="1"/>
  <c r="J396" i="1"/>
  <c r="N404" i="1"/>
  <c r="N410" i="1"/>
  <c r="J421" i="1"/>
  <c r="J434" i="1"/>
  <c r="N437" i="1"/>
  <c r="N443" i="1"/>
  <c r="J450" i="1"/>
  <c r="N537" i="1"/>
  <c r="J546" i="1"/>
  <c r="J633" i="1"/>
  <c r="N22" i="3"/>
  <c r="N120" i="3"/>
  <c r="N118" i="3" s="1"/>
  <c r="L335" i="1"/>
  <c r="K435" i="3"/>
  <c r="K564" i="3"/>
  <c r="K573" i="3"/>
  <c r="O584" i="3"/>
  <c r="O601" i="3"/>
  <c r="L57" i="4"/>
  <c r="L55" i="4" s="1"/>
  <c r="L53" i="4" s="1"/>
  <c r="J350" i="1"/>
  <c r="K381" i="4"/>
  <c r="K481" i="4"/>
  <c r="I595" i="1"/>
  <c r="L57" i="5"/>
  <c r="O57" i="5" s="1"/>
  <c r="L70" i="5"/>
  <c r="O70" i="5" s="1"/>
  <c r="K111" i="5"/>
  <c r="K117" i="5"/>
  <c r="I374" i="1"/>
  <c r="K396" i="5"/>
  <c r="K416" i="5"/>
  <c r="K424" i="5"/>
  <c r="K428" i="5"/>
  <c r="K432" i="5"/>
  <c r="O537" i="5"/>
  <c r="J264" i="1"/>
  <c r="K482" i="6"/>
  <c r="K628" i="6"/>
  <c r="P98" i="7"/>
  <c r="K111" i="7"/>
  <c r="L122" i="7"/>
  <c r="O122" i="7" s="1"/>
  <c r="K158" i="7"/>
  <c r="N312" i="7"/>
  <c r="N310" i="7" s="1"/>
  <c r="K426" i="7"/>
  <c r="K451" i="7"/>
  <c r="O459" i="7"/>
  <c r="K465" i="7"/>
  <c r="K630" i="7"/>
  <c r="N34" i="8"/>
  <c r="N14" i="8" s="1"/>
  <c r="N120" i="10"/>
  <c r="N118" i="10" s="1"/>
  <c r="N142" i="10"/>
  <c r="N140" i="10" s="1"/>
  <c r="N55" i="13"/>
  <c r="N53" i="13" s="1"/>
  <c r="K368" i="13"/>
  <c r="K402" i="13"/>
  <c r="K423" i="13"/>
  <c r="K499" i="15"/>
  <c r="P49" i="16"/>
  <c r="K613" i="16"/>
  <c r="O599" i="17"/>
  <c r="N55" i="18"/>
  <c r="N53" i="18" s="1"/>
  <c r="K109" i="18"/>
  <c r="K324" i="18"/>
  <c r="K372" i="18"/>
  <c r="O439" i="18"/>
  <c r="P224" i="8"/>
  <c r="K416" i="8"/>
  <c r="K420" i="8"/>
  <c r="K428" i="8"/>
  <c r="K591" i="8"/>
  <c r="K595" i="8"/>
  <c r="K428" i="9"/>
  <c r="N43" i="10"/>
  <c r="N41" i="10" s="1"/>
  <c r="K65" i="10"/>
  <c r="N68" i="10"/>
  <c r="N66" i="10" s="1"/>
  <c r="N96" i="10"/>
  <c r="N94" i="10" s="1"/>
  <c r="K270" i="10"/>
  <c r="N32" i="10"/>
  <c r="N30" i="10" s="1"/>
  <c r="K380" i="10"/>
  <c r="O401" i="10"/>
  <c r="K418" i="10"/>
  <c r="K426" i="10"/>
  <c r="N68" i="11"/>
  <c r="N66" i="11" s="1"/>
  <c r="L314" i="11"/>
  <c r="O314" i="11" s="1"/>
  <c r="K158" i="12"/>
  <c r="K482" i="13"/>
  <c r="K199" i="15"/>
  <c r="N252" i="17"/>
  <c r="N250" i="17" s="1"/>
  <c r="K560" i="17"/>
  <c r="K593" i="18"/>
  <c r="K630" i="18"/>
  <c r="J154" i="1"/>
  <c r="J161" i="1"/>
  <c r="J172" i="1"/>
  <c r="J182" i="1"/>
  <c r="J309" i="1"/>
  <c r="L316" i="1"/>
  <c r="J324" i="1"/>
  <c r="J341" i="1"/>
  <c r="J345" i="1"/>
  <c r="N349" i="1"/>
  <c r="J360" i="1"/>
  <c r="J371" i="1"/>
  <c r="J621" i="1"/>
  <c r="N49" i="1"/>
  <c r="J249" i="1"/>
  <c r="L255" i="1"/>
  <c r="J268" i="1"/>
  <c r="M275" i="1"/>
  <c r="J283" i="1"/>
  <c r="L296" i="1"/>
  <c r="K465" i="3"/>
  <c r="K473" i="3"/>
  <c r="J489" i="1"/>
  <c r="J501" i="1"/>
  <c r="J505" i="1"/>
  <c r="K204" i="4"/>
  <c r="J339" i="1"/>
  <c r="J343" i="1"/>
  <c r="O599" i="4"/>
  <c r="L122" i="5"/>
  <c r="O122" i="5" s="1"/>
  <c r="M314" i="1"/>
  <c r="P337" i="5"/>
  <c r="K429" i="5"/>
  <c r="O437" i="5"/>
  <c r="K285" i="6"/>
  <c r="K328" i="6"/>
  <c r="K341" i="6"/>
  <c r="O349" i="6"/>
  <c r="K417" i="6"/>
  <c r="K372" i="7"/>
  <c r="K376" i="7"/>
  <c r="K398" i="7"/>
  <c r="K402" i="7"/>
  <c r="O406" i="7"/>
  <c r="K423" i="7"/>
  <c r="K481" i="7"/>
  <c r="P254" i="8"/>
  <c r="L32" i="9"/>
  <c r="L30" i="9" s="1"/>
  <c r="N43" i="13"/>
  <c r="N41" i="13" s="1"/>
  <c r="K424" i="13"/>
  <c r="L98" i="14"/>
  <c r="O98" i="14" s="1"/>
  <c r="N142" i="14"/>
  <c r="N140" i="14" s="1"/>
  <c r="K464" i="14"/>
  <c r="M312" i="15"/>
  <c r="P312" i="15" s="1"/>
  <c r="K547" i="15"/>
  <c r="K464" i="16"/>
  <c r="O555" i="17"/>
  <c r="K173" i="18"/>
  <c r="K428" i="18"/>
  <c r="J325" i="1"/>
  <c r="J508" i="1"/>
  <c r="I520" i="1"/>
  <c r="I528" i="1"/>
  <c r="N556" i="1"/>
  <c r="N566" i="1"/>
  <c r="J577" i="1"/>
  <c r="N584" i="1"/>
  <c r="J609" i="1"/>
  <c r="I614" i="1"/>
  <c r="P144" i="3"/>
  <c r="J242" i="1"/>
  <c r="N273" i="3"/>
  <c r="N271" i="3" s="1"/>
  <c r="K595" i="3"/>
  <c r="L122" i="4"/>
  <c r="L120" i="4" s="1"/>
  <c r="O120" i="4" s="1"/>
  <c r="K200" i="4"/>
  <c r="K482" i="4"/>
  <c r="O537" i="4"/>
  <c r="K551" i="4"/>
  <c r="K629" i="4"/>
  <c r="K633" i="4"/>
  <c r="O102" i="6"/>
  <c r="K112" i="6"/>
  <c r="K158" i="6"/>
  <c r="J445" i="1"/>
  <c r="O455" i="6"/>
  <c r="O459" i="6"/>
  <c r="N569" i="1"/>
  <c r="L294" i="7"/>
  <c r="L292" i="7" s="1"/>
  <c r="O568" i="7"/>
  <c r="P102" i="8"/>
  <c r="K109" i="8"/>
  <c r="K349" i="8"/>
  <c r="K449" i="8"/>
  <c r="K629" i="8"/>
  <c r="K370" i="9"/>
  <c r="O404" i="9"/>
  <c r="O437" i="9"/>
  <c r="O537" i="9"/>
  <c r="O406" i="10"/>
  <c r="P49" i="12"/>
  <c r="P57" i="13"/>
  <c r="K200" i="13"/>
  <c r="O457" i="13"/>
  <c r="K112" i="14"/>
  <c r="L122" i="14"/>
  <c r="O122" i="14" s="1"/>
  <c r="K219" i="16"/>
  <c r="K597" i="16"/>
  <c r="K370" i="17"/>
  <c r="O601" i="18"/>
  <c r="K380" i="14"/>
  <c r="O455" i="14"/>
  <c r="O551" i="14"/>
  <c r="K164" i="15"/>
  <c r="N32" i="15"/>
  <c r="N30" i="15" s="1"/>
  <c r="K397" i="15"/>
  <c r="K418" i="15"/>
  <c r="K422" i="15"/>
  <c r="K435" i="15"/>
  <c r="K614" i="15"/>
  <c r="O566" i="16"/>
  <c r="O584" i="16"/>
  <c r="K634" i="16"/>
  <c r="P144" i="17"/>
  <c r="K375" i="17"/>
  <c r="K426" i="17"/>
  <c r="K430" i="17"/>
  <c r="O459" i="17"/>
  <c r="K481" i="17"/>
  <c r="P98" i="18"/>
  <c r="K349" i="18"/>
  <c r="O352" i="18"/>
  <c r="K421" i="18"/>
  <c r="K429" i="18"/>
  <c r="O457" i="18"/>
  <c r="I506" i="1"/>
  <c r="K506" i="1" s="1"/>
  <c r="K483" i="2"/>
  <c r="I483" i="1"/>
  <c r="K483" i="1" s="1"/>
  <c r="K494" i="2"/>
  <c r="I494" i="1"/>
  <c r="K494" i="1" s="1"/>
  <c r="K502" i="2"/>
  <c r="I502" i="1"/>
  <c r="K502" i="1" s="1"/>
  <c r="K510" i="2"/>
  <c r="I510" i="1"/>
  <c r="K510" i="1" s="1"/>
  <c r="K480" i="4"/>
  <c r="I480" i="1"/>
  <c r="K480" i="1" s="1"/>
  <c r="K339" i="6"/>
  <c r="I339" i="1"/>
  <c r="K339" i="1" s="1"/>
  <c r="L58" i="1"/>
  <c r="K176" i="2"/>
  <c r="I176" i="1"/>
  <c r="K455" i="2"/>
  <c r="I455" i="1"/>
  <c r="O458" i="2"/>
  <c r="L458" i="1"/>
  <c r="O458" i="1" s="1"/>
  <c r="K468" i="2"/>
  <c r="I468" i="1"/>
  <c r="K468" i="1" s="1"/>
  <c r="K476" i="2"/>
  <c r="I476" i="1"/>
  <c r="K476" i="1" s="1"/>
  <c r="K487" i="2"/>
  <c r="I487" i="1"/>
  <c r="K487" i="1" s="1"/>
  <c r="O406" i="4"/>
  <c r="L406" i="1"/>
  <c r="O406" i="1" s="1"/>
  <c r="K419" i="4"/>
  <c r="I419" i="1"/>
  <c r="I264" i="1"/>
  <c r="K369" i="4"/>
  <c r="I369" i="1"/>
  <c r="K369" i="1" s="1"/>
  <c r="O598" i="4"/>
  <c r="L598" i="1"/>
  <c r="O598" i="1" s="1"/>
  <c r="O352" i="5"/>
  <c r="L352" i="1"/>
  <c r="L353" i="1"/>
  <c r="O353" i="1" s="1"/>
  <c r="K371" i="2"/>
  <c r="I371" i="1"/>
  <c r="K371" i="1" s="1"/>
  <c r="K435" i="2"/>
  <c r="I435" i="1"/>
  <c r="P122" i="4"/>
  <c r="M120" i="4"/>
  <c r="P120" i="4" s="1"/>
  <c r="L298" i="1"/>
  <c r="O298" i="1" s="1"/>
  <c r="O298" i="6"/>
  <c r="L294" i="2"/>
  <c r="O294" i="2" s="1"/>
  <c r="K594" i="2"/>
  <c r="I594" i="1"/>
  <c r="K594" i="1" s="1"/>
  <c r="K631" i="2"/>
  <c r="K635" i="2"/>
  <c r="K486" i="3"/>
  <c r="I486" i="1"/>
  <c r="K486" i="1" s="1"/>
  <c r="K628" i="3"/>
  <c r="L258" i="1"/>
  <c r="O258" i="1" s="1"/>
  <c r="L26" i="6"/>
  <c r="L16" i="6" s="1"/>
  <c r="K576" i="6"/>
  <c r="I576" i="1"/>
  <c r="K576" i="1" s="1"/>
  <c r="K580" i="6"/>
  <c r="I580" i="1"/>
  <c r="J493" i="1"/>
  <c r="K513" i="2"/>
  <c r="I513" i="1"/>
  <c r="K513" i="1" s="1"/>
  <c r="I201" i="1"/>
  <c r="K201" i="3"/>
  <c r="K396" i="3"/>
  <c r="K561" i="5"/>
  <c r="K561" i="1" s="1"/>
  <c r="I561" i="1"/>
  <c r="J400" i="1"/>
  <c r="K420" i="2"/>
  <c r="I497" i="1"/>
  <c r="J519" i="1"/>
  <c r="J523" i="1"/>
  <c r="J531" i="1"/>
  <c r="N534" i="1"/>
  <c r="N539" i="1"/>
  <c r="N551" i="1"/>
  <c r="J561" i="1"/>
  <c r="O566" i="2"/>
  <c r="N571" i="1"/>
  <c r="L144" i="3"/>
  <c r="O144" i="3" s="1"/>
  <c r="K189" i="3"/>
  <c r="K200" i="3"/>
  <c r="N312" i="3"/>
  <c r="N310" i="3" s="1"/>
  <c r="K416" i="3"/>
  <c r="K420" i="3"/>
  <c r="K424" i="3"/>
  <c r="K428" i="3"/>
  <c r="J488" i="1"/>
  <c r="J492" i="1"/>
  <c r="J496" i="1"/>
  <c r="J500" i="1"/>
  <c r="N43" i="4"/>
  <c r="N41" i="4" s="1"/>
  <c r="L144" i="4"/>
  <c r="L142" i="4" s="1"/>
  <c r="K173" i="4"/>
  <c r="K309" i="4"/>
  <c r="K368" i="4"/>
  <c r="K372" i="4"/>
  <c r="O580" i="4"/>
  <c r="K634" i="4"/>
  <c r="K430" i="5"/>
  <c r="L144" i="6"/>
  <c r="L142" i="6" s="1"/>
  <c r="L140" i="6" s="1"/>
  <c r="K189" i="6"/>
  <c r="K200" i="6"/>
  <c r="K267" i="6"/>
  <c r="O437" i="6"/>
  <c r="K450" i="6"/>
  <c r="K474" i="6"/>
  <c r="K83" i="8"/>
  <c r="K474" i="10"/>
  <c r="K396" i="2"/>
  <c r="O404" i="2"/>
  <c r="N409" i="1"/>
  <c r="K417" i="2"/>
  <c r="K425" i="2"/>
  <c r="J497" i="1"/>
  <c r="K564" i="2"/>
  <c r="K235" i="3"/>
  <c r="P254" i="3"/>
  <c r="L333" i="3"/>
  <c r="O333" i="3" s="1"/>
  <c r="K349" i="3"/>
  <c r="K92" i="4"/>
  <c r="K343" i="4"/>
  <c r="K350" i="4"/>
  <c r="K328" i="5"/>
  <c r="K381" i="5"/>
  <c r="O406" i="5"/>
  <c r="K423" i="5"/>
  <c r="K473" i="5"/>
  <c r="K481" i="5"/>
  <c r="K580" i="5"/>
  <c r="K589" i="5"/>
  <c r="O599" i="5"/>
  <c r="L122" i="6"/>
  <c r="L120" i="6" s="1"/>
  <c r="K229" i="6"/>
  <c r="K264" i="6"/>
  <c r="K430" i="6"/>
  <c r="K547" i="6"/>
  <c r="K629" i="6"/>
  <c r="K350" i="7"/>
  <c r="K497" i="9"/>
  <c r="K533" i="9"/>
  <c r="P144" i="10"/>
  <c r="M142" i="10"/>
  <c r="M140" i="10" s="1"/>
  <c r="K618" i="8"/>
  <c r="K612" i="8"/>
  <c r="K619" i="8"/>
  <c r="P70" i="10"/>
  <c r="K87" i="10"/>
  <c r="K429" i="3"/>
  <c r="K341" i="5"/>
  <c r="K533" i="5"/>
  <c r="M273" i="7"/>
  <c r="P275" i="7"/>
  <c r="M254" i="1"/>
  <c r="K613" i="2"/>
  <c r="O383" i="3"/>
  <c r="N31" i="4"/>
  <c r="N29" i="4" s="1"/>
  <c r="O564" i="4"/>
  <c r="K199" i="5"/>
  <c r="O337" i="5"/>
  <c r="K466" i="5"/>
  <c r="K482" i="5"/>
  <c r="K498" i="5"/>
  <c r="O580" i="5"/>
  <c r="N68" i="6"/>
  <c r="P68" i="6" s="1"/>
  <c r="K81" i="6"/>
  <c r="K265" i="6"/>
  <c r="N312" i="6"/>
  <c r="N310" i="6" s="1"/>
  <c r="K464" i="6"/>
  <c r="K628" i="7"/>
  <c r="N31" i="8"/>
  <c r="N29" i="8" s="1"/>
  <c r="P70" i="9"/>
  <c r="M68" i="9"/>
  <c r="P68" i="9" s="1"/>
  <c r="K200" i="9"/>
  <c r="O353" i="10"/>
  <c r="L33" i="10"/>
  <c r="O33" i="10" s="1"/>
  <c r="N142" i="2"/>
  <c r="P142" i="2" s="1"/>
  <c r="J262" i="1"/>
  <c r="O380" i="2"/>
  <c r="K423" i="2"/>
  <c r="O455" i="2"/>
  <c r="O459" i="2"/>
  <c r="K465" i="2"/>
  <c r="K473" i="2"/>
  <c r="O537" i="2"/>
  <c r="K551" i="2"/>
  <c r="J591" i="1"/>
  <c r="J595" i="1"/>
  <c r="K149" i="3"/>
  <c r="N405" i="1"/>
  <c r="K597" i="3"/>
  <c r="L100" i="1"/>
  <c r="J108" i="1"/>
  <c r="K112" i="4"/>
  <c r="K199" i="4"/>
  <c r="N252" i="5"/>
  <c r="N250" i="5" s="1"/>
  <c r="K92" i="6"/>
  <c r="K110" i="6"/>
  <c r="M312" i="6"/>
  <c r="P312" i="6" s="1"/>
  <c r="O352" i="6"/>
  <c r="K416" i="6"/>
  <c r="O435" i="6"/>
  <c r="L32" i="8"/>
  <c r="L30" i="8" s="1"/>
  <c r="L333" i="10"/>
  <c r="O333" i="10" s="1"/>
  <c r="J105" i="1"/>
  <c r="J110" i="1"/>
  <c r="J115" i="1"/>
  <c r="P144" i="2"/>
  <c r="K189" i="2"/>
  <c r="K200" i="2"/>
  <c r="O347" i="2"/>
  <c r="J363" i="1"/>
  <c r="J398" i="1"/>
  <c r="J415" i="1"/>
  <c r="K481" i="2"/>
  <c r="J203" i="1"/>
  <c r="J213" i="1"/>
  <c r="K213" i="1" s="1"/>
  <c r="N222" i="3"/>
  <c r="N220" i="3" s="1"/>
  <c r="N252" i="3"/>
  <c r="N250" i="3" s="1"/>
  <c r="J507" i="1"/>
  <c r="K633" i="3"/>
  <c r="L224" i="4"/>
  <c r="O224" i="4" s="1"/>
  <c r="K345" i="4"/>
  <c r="K425" i="4"/>
  <c r="K429" i="4"/>
  <c r="O457" i="4"/>
  <c r="L45" i="5"/>
  <c r="L43" i="5" s="1"/>
  <c r="L41" i="5" s="1"/>
  <c r="L254" i="5"/>
  <c r="O254" i="5" s="1"/>
  <c r="K343" i="5"/>
  <c r="O347" i="5"/>
  <c r="K421" i="5"/>
  <c r="K631" i="5"/>
  <c r="O597" i="6"/>
  <c r="K630" i="8"/>
  <c r="N43" i="2"/>
  <c r="N41" i="2" s="1"/>
  <c r="M68" i="2"/>
  <c r="P68" i="2" s="1"/>
  <c r="M98" i="1"/>
  <c r="J580" i="1"/>
  <c r="J592" i="1"/>
  <c r="N605" i="1"/>
  <c r="J612" i="1"/>
  <c r="J620" i="1"/>
  <c r="J629" i="1"/>
  <c r="L31" i="3"/>
  <c r="L29" i="3" s="1"/>
  <c r="O29" i="3" s="1"/>
  <c r="P98" i="3"/>
  <c r="K138" i="3"/>
  <c r="M252" i="3"/>
  <c r="M250" i="3" s="1"/>
  <c r="N34" i="3"/>
  <c r="N14" i="3" s="1"/>
  <c r="O406" i="3"/>
  <c r="O582" i="5"/>
  <c r="K93" i="6"/>
  <c r="K429" i="6"/>
  <c r="K635" i="14"/>
  <c r="K631" i="16"/>
  <c r="L33" i="17"/>
  <c r="O33" i="17" s="1"/>
  <c r="K133" i="17"/>
  <c r="K87" i="7"/>
  <c r="O380" i="7"/>
  <c r="K430" i="7"/>
  <c r="K473" i="7"/>
  <c r="N55" i="8"/>
  <c r="N53" i="8" s="1"/>
  <c r="K375" i="8"/>
  <c r="K380" i="8"/>
  <c r="K397" i="8"/>
  <c r="K422" i="8"/>
  <c r="K430" i="8"/>
  <c r="K435" i="8"/>
  <c r="K464" i="8"/>
  <c r="O564" i="8"/>
  <c r="L57" i="9"/>
  <c r="O57" i="9" s="1"/>
  <c r="M292" i="9"/>
  <c r="M290" i="9" s="1"/>
  <c r="P290" i="9" s="1"/>
  <c r="L333" i="9"/>
  <c r="O333" i="9" s="1"/>
  <c r="K341" i="9"/>
  <c r="K591" i="9"/>
  <c r="L98" i="10"/>
  <c r="O98" i="10" s="1"/>
  <c r="N33" i="10"/>
  <c r="N13" i="10" s="1"/>
  <c r="K435" i="10"/>
  <c r="O580" i="10"/>
  <c r="K597" i="10"/>
  <c r="K630" i="10"/>
  <c r="K199" i="11"/>
  <c r="K372" i="11"/>
  <c r="K425" i="11"/>
  <c r="K455" i="11"/>
  <c r="K611" i="11"/>
  <c r="K132" i="12"/>
  <c r="K229" i="12"/>
  <c r="O459" i="12"/>
  <c r="O597" i="12"/>
  <c r="K117" i="13"/>
  <c r="K189" i="13"/>
  <c r="K564" i="13"/>
  <c r="K591" i="13"/>
  <c r="K595" i="13"/>
  <c r="K615" i="13"/>
  <c r="K628" i="13"/>
  <c r="L57" i="14"/>
  <c r="O57" i="14" s="1"/>
  <c r="O337" i="14"/>
  <c r="O401" i="14"/>
  <c r="N222" i="15"/>
  <c r="N220" i="15" s="1"/>
  <c r="K370" i="15"/>
  <c r="K396" i="15"/>
  <c r="K449" i="15"/>
  <c r="O74" i="16"/>
  <c r="K377" i="18"/>
  <c r="O435" i="18"/>
  <c r="K499" i="18"/>
  <c r="K112" i="7"/>
  <c r="K285" i="7"/>
  <c r="K593" i="7"/>
  <c r="K133" i="8"/>
  <c r="K465" i="8"/>
  <c r="K499" i="8"/>
  <c r="K425" i="9"/>
  <c r="K429" i="9"/>
  <c r="L57" i="10"/>
  <c r="O57" i="10" s="1"/>
  <c r="P98" i="13"/>
  <c r="M142" i="15"/>
  <c r="M140" i="15" s="1"/>
  <c r="O148" i="15"/>
  <c r="P294" i="16"/>
  <c r="O533" i="16"/>
  <c r="O599" i="16"/>
  <c r="O102" i="17"/>
  <c r="K113" i="17"/>
  <c r="N273" i="17"/>
  <c r="N271" i="17" s="1"/>
  <c r="L314" i="17"/>
  <c r="O314" i="17" s="1"/>
  <c r="K350" i="17"/>
  <c r="K551" i="17"/>
  <c r="K629" i="17"/>
  <c r="K81" i="18"/>
  <c r="N142" i="18"/>
  <c r="N140" i="18" s="1"/>
  <c r="O455" i="18"/>
  <c r="K633" i="18"/>
  <c r="L45" i="7"/>
  <c r="L43" i="7" s="1"/>
  <c r="L41" i="7" s="1"/>
  <c r="O385" i="7"/>
  <c r="K149" i="8"/>
  <c r="O347" i="8"/>
  <c r="N312" i="9"/>
  <c r="N310" i="9" s="1"/>
  <c r="K465" i="9"/>
  <c r="O582" i="9"/>
  <c r="L26" i="10"/>
  <c r="L16" i="10" s="1"/>
  <c r="K158" i="10"/>
  <c r="K201" i="10"/>
  <c r="K343" i="10"/>
  <c r="K381" i="10"/>
  <c r="K465" i="10"/>
  <c r="N120" i="11"/>
  <c r="N118" i="11" s="1"/>
  <c r="N331" i="11"/>
  <c r="N329" i="11" s="1"/>
  <c r="K340" i="11"/>
  <c r="K402" i="11"/>
  <c r="O406" i="11"/>
  <c r="O537" i="11"/>
  <c r="O582" i="11"/>
  <c r="L294" i="12"/>
  <c r="O294" i="12" s="1"/>
  <c r="K631" i="12"/>
  <c r="K635" i="12"/>
  <c r="M55" i="13"/>
  <c r="M53" i="13" s="1"/>
  <c r="L122" i="13"/>
  <c r="O122" i="13" s="1"/>
  <c r="K370" i="13"/>
  <c r="P70" i="14"/>
  <c r="K547" i="14"/>
  <c r="K401" i="15"/>
  <c r="K455" i="15"/>
  <c r="O457" i="15"/>
  <c r="N222" i="16"/>
  <c r="N220" i="16" s="1"/>
  <c r="K465" i="17"/>
  <c r="K340" i="18"/>
  <c r="K215" i="7"/>
  <c r="L224" i="7"/>
  <c r="O224" i="7" s="1"/>
  <c r="K340" i="7"/>
  <c r="K370" i="7"/>
  <c r="O457" i="7"/>
  <c r="K497" i="7"/>
  <c r="O580" i="7"/>
  <c r="K634" i="7"/>
  <c r="K616" i="8"/>
  <c r="K499" i="10"/>
  <c r="O568" i="10"/>
  <c r="O49" i="11"/>
  <c r="L70" i="11"/>
  <c r="O70" i="11" s="1"/>
  <c r="K80" i="11"/>
  <c r="L122" i="11"/>
  <c r="O122" i="11" s="1"/>
  <c r="L144" i="11"/>
  <c r="O144" i="11" s="1"/>
  <c r="N33" i="11"/>
  <c r="N13" i="11" s="1"/>
  <c r="N222" i="12"/>
  <c r="P222" i="12" s="1"/>
  <c r="K416" i="12"/>
  <c r="K449" i="13"/>
  <c r="O537" i="13"/>
  <c r="N43" i="14"/>
  <c r="N41" i="14" s="1"/>
  <c r="K158" i="14"/>
  <c r="N273" i="14"/>
  <c r="N271" i="14" s="1"/>
  <c r="N273" i="15"/>
  <c r="N271" i="15" s="1"/>
  <c r="K149" i="16"/>
  <c r="K285" i="16"/>
  <c r="L294" i="16"/>
  <c r="O294" i="16" s="1"/>
  <c r="K350" i="16"/>
  <c r="O380" i="16"/>
  <c r="K481" i="16"/>
  <c r="N120" i="18"/>
  <c r="N118" i="18" s="1"/>
  <c r="I367" i="18"/>
  <c r="K367" i="18" s="1"/>
  <c r="K635" i="6"/>
  <c r="N26" i="7"/>
  <c r="N16" i="7" s="1"/>
  <c r="K109" i="7"/>
  <c r="N142" i="7"/>
  <c r="N140" i="7" s="1"/>
  <c r="P140" i="7" s="1"/>
  <c r="K481" i="8"/>
  <c r="O535" i="8"/>
  <c r="N273" i="9"/>
  <c r="N271" i="9" s="1"/>
  <c r="O385" i="10"/>
  <c r="O582" i="10"/>
  <c r="N312" i="11"/>
  <c r="N310" i="11" s="1"/>
  <c r="K341" i="11"/>
  <c r="K349" i="11"/>
  <c r="O566" i="11"/>
  <c r="O349" i="13"/>
  <c r="K375" i="13"/>
  <c r="L45" i="14"/>
  <c r="O45" i="14" s="1"/>
  <c r="P98" i="14"/>
  <c r="M142" i="14"/>
  <c r="M140" i="14" s="1"/>
  <c r="K498" i="14"/>
  <c r="O535" i="14"/>
  <c r="O584" i="14"/>
  <c r="K426" i="15"/>
  <c r="O406" i="17"/>
  <c r="O551" i="17"/>
  <c r="O601" i="17"/>
  <c r="K304" i="18"/>
  <c r="K632" i="6"/>
  <c r="O383" i="7"/>
  <c r="O401" i="7"/>
  <c r="K455" i="7"/>
  <c r="K635" i="7"/>
  <c r="K64" i="8"/>
  <c r="K474" i="8"/>
  <c r="K497" i="8"/>
  <c r="K564" i="8"/>
  <c r="K573" i="8"/>
  <c r="N43" i="9"/>
  <c r="N41" i="9" s="1"/>
  <c r="L275" i="9"/>
  <c r="O275" i="9" s="1"/>
  <c r="O584" i="9"/>
  <c r="K328" i="10"/>
  <c r="N31" i="10"/>
  <c r="N29" i="10" s="1"/>
  <c r="K401" i="10"/>
  <c r="O404" i="10"/>
  <c r="O599" i="10"/>
  <c r="K133" i="11"/>
  <c r="K573" i="11"/>
  <c r="O584" i="11"/>
  <c r="K111" i="12"/>
  <c r="K249" i="12"/>
  <c r="P254" i="12"/>
  <c r="K340" i="12"/>
  <c r="K349" i="12"/>
  <c r="K396" i="12"/>
  <c r="K199" i="13"/>
  <c r="O401" i="13"/>
  <c r="K450" i="13"/>
  <c r="K455" i="13"/>
  <c r="N96" i="14"/>
  <c r="N94" i="14" s="1"/>
  <c r="K285" i="14"/>
  <c r="K401" i="14"/>
  <c r="O597" i="14"/>
  <c r="L57" i="15"/>
  <c r="O57" i="15" s="1"/>
  <c r="K200" i="15"/>
  <c r="K229" i="15"/>
  <c r="K285" i="15"/>
  <c r="K402" i="15"/>
  <c r="O406" i="15"/>
  <c r="K431" i="15"/>
  <c r="O435" i="15"/>
  <c r="K465" i="15"/>
  <c r="K473" i="15"/>
  <c r="K497" i="15"/>
  <c r="K482" i="16"/>
  <c r="K423" i="17"/>
  <c r="M222" i="18"/>
  <c r="M220" i="18" s="1"/>
  <c r="O584" i="18"/>
  <c r="L49" i="1"/>
  <c r="N57" i="1"/>
  <c r="I204" i="1"/>
  <c r="N275" i="1"/>
  <c r="I304" i="1"/>
  <c r="M96" i="2"/>
  <c r="P96" i="2" s="1"/>
  <c r="K341" i="3"/>
  <c r="P98" i="5"/>
  <c r="J431" i="1"/>
  <c r="N435" i="1"/>
  <c r="N55" i="6"/>
  <c r="N53" i="6" s="1"/>
  <c r="I215" i="1"/>
  <c r="N224" i="1"/>
  <c r="I265" i="1"/>
  <c r="L295" i="1"/>
  <c r="K270" i="2"/>
  <c r="L275" i="2"/>
  <c r="O275" i="2" s="1"/>
  <c r="K547" i="2"/>
  <c r="O551" i="2"/>
  <c r="M273" i="3"/>
  <c r="M271" i="3" s="1"/>
  <c r="P275" i="3"/>
  <c r="K108" i="4"/>
  <c r="K176" i="4"/>
  <c r="K186" i="4"/>
  <c r="K497" i="4"/>
  <c r="L314" i="5"/>
  <c r="L312" i="5" s="1"/>
  <c r="O347" i="6"/>
  <c r="I93" i="1"/>
  <c r="I266" i="1"/>
  <c r="K199" i="2"/>
  <c r="N385" i="1"/>
  <c r="O385" i="2"/>
  <c r="M102" i="4"/>
  <c r="P102" i="4" s="1"/>
  <c r="O102" i="4"/>
  <c r="P98" i="2"/>
  <c r="N356" i="1"/>
  <c r="K427" i="4"/>
  <c r="K164" i="5"/>
  <c r="N70" i="1"/>
  <c r="I87" i="1"/>
  <c r="L70" i="3"/>
  <c r="L68" i="3" s="1"/>
  <c r="L66" i="3" s="1"/>
  <c r="K80" i="3"/>
  <c r="K88" i="3"/>
  <c r="K112" i="3"/>
  <c r="K164" i="3"/>
  <c r="I367" i="3"/>
  <c r="K367" i="3" s="1"/>
  <c r="K369" i="3"/>
  <c r="K418" i="3"/>
  <c r="I615" i="1"/>
  <c r="I619" i="1"/>
  <c r="K635" i="3"/>
  <c r="L254" i="4"/>
  <c r="L252" i="4" s="1"/>
  <c r="L250" i="4" s="1"/>
  <c r="O352" i="4"/>
  <c r="K591" i="4"/>
  <c r="K158" i="5"/>
  <c r="K64" i="6"/>
  <c r="L566" i="1"/>
  <c r="M312" i="2"/>
  <c r="M310" i="2" s="1"/>
  <c r="K380" i="2"/>
  <c r="K428" i="2"/>
  <c r="K432" i="2"/>
  <c r="J477" i="1"/>
  <c r="K158" i="3"/>
  <c r="N31" i="3"/>
  <c r="N11" i="3" s="1"/>
  <c r="N9" i="3" s="1"/>
  <c r="P314" i="4"/>
  <c r="M312" i="4"/>
  <c r="M310" i="4" s="1"/>
  <c r="I526" i="1"/>
  <c r="J543" i="1"/>
  <c r="K110" i="5"/>
  <c r="L456" i="1"/>
  <c r="O456" i="1" s="1"/>
  <c r="N460" i="1"/>
  <c r="I466" i="1"/>
  <c r="K628" i="2"/>
  <c r="K113" i="3"/>
  <c r="N32" i="3"/>
  <c r="N30" i="3" s="1"/>
  <c r="L23" i="4"/>
  <c r="O23" i="4" s="1"/>
  <c r="K427" i="5"/>
  <c r="O455" i="5"/>
  <c r="O459" i="5"/>
  <c r="K109" i="6"/>
  <c r="K132" i="6"/>
  <c r="K249" i="6"/>
  <c r="K266" i="6"/>
  <c r="K343" i="6"/>
  <c r="K350" i="6"/>
  <c r="K376" i="6"/>
  <c r="K422" i="6"/>
  <c r="J173" i="1"/>
  <c r="J184" i="1"/>
  <c r="L226" i="1"/>
  <c r="J233" i="1"/>
  <c r="N252" i="2"/>
  <c r="N250" i="2" s="1"/>
  <c r="K324" i="2"/>
  <c r="J344" i="1"/>
  <c r="N351" i="1"/>
  <c r="N456" i="1"/>
  <c r="N461" i="1"/>
  <c r="J470" i="1"/>
  <c r="J506" i="1"/>
  <c r="N558" i="1"/>
  <c r="J578" i="1"/>
  <c r="K597" i="2"/>
  <c r="I634" i="1"/>
  <c r="N55" i="3"/>
  <c r="N53" i="3" s="1"/>
  <c r="K92" i="3"/>
  <c r="K249" i="3"/>
  <c r="I377" i="1"/>
  <c r="O437" i="3"/>
  <c r="K593" i="3"/>
  <c r="K113" i="4"/>
  <c r="N331" i="4"/>
  <c r="N329" i="4" s="1"/>
  <c r="K560" i="4"/>
  <c r="K622" i="4"/>
  <c r="N222" i="5"/>
  <c r="N220" i="5" s="1"/>
  <c r="K593" i="5"/>
  <c r="K173" i="6"/>
  <c r="K235" i="6"/>
  <c r="N252" i="6"/>
  <c r="N250" i="6" s="1"/>
  <c r="N292" i="6"/>
  <c r="N290" i="6" s="1"/>
  <c r="P333" i="6"/>
  <c r="K370" i="6"/>
  <c r="O385" i="6"/>
  <c r="K427" i="6"/>
  <c r="M26" i="11"/>
  <c r="M16" i="11" s="1"/>
  <c r="P49" i="11"/>
  <c r="L98" i="2"/>
  <c r="O98" i="2" s="1"/>
  <c r="K133" i="2"/>
  <c r="L254" i="2"/>
  <c r="O254" i="2" s="1"/>
  <c r="N337" i="1"/>
  <c r="O406" i="2"/>
  <c r="J414" i="1"/>
  <c r="O437" i="2"/>
  <c r="J454" i="1"/>
  <c r="J517" i="1"/>
  <c r="J521" i="1"/>
  <c r="J525" i="1"/>
  <c r="J529" i="1"/>
  <c r="J544" i="1"/>
  <c r="N559" i="1"/>
  <c r="N564" i="1"/>
  <c r="J625" i="1"/>
  <c r="N43" i="3"/>
  <c r="N41" i="3" s="1"/>
  <c r="K64" i="3"/>
  <c r="N292" i="3"/>
  <c r="N290" i="3" s="1"/>
  <c r="O385" i="3"/>
  <c r="K464" i="3"/>
  <c r="O568" i="3"/>
  <c r="K86" i="4"/>
  <c r="K110" i="4"/>
  <c r="K219" i="4"/>
  <c r="K249" i="4"/>
  <c r="O404" i="4"/>
  <c r="K420" i="4"/>
  <c r="K449" i="4"/>
  <c r="O566" i="4"/>
  <c r="K593" i="4"/>
  <c r="K597" i="4"/>
  <c r="K623" i="4"/>
  <c r="N55" i="5"/>
  <c r="N53" i="5" s="1"/>
  <c r="K108" i="5"/>
  <c r="K112" i="5"/>
  <c r="K219" i="5"/>
  <c r="L224" i="5"/>
  <c r="O224" i="5" s="1"/>
  <c r="N292" i="5"/>
  <c r="N290" i="5" s="1"/>
  <c r="N331" i="5"/>
  <c r="N329" i="5" s="1"/>
  <c r="O383" i="5"/>
  <c r="O401" i="5"/>
  <c r="K449" i="5"/>
  <c r="K474" i="5"/>
  <c r="K573" i="5"/>
  <c r="K597" i="5"/>
  <c r="N26" i="6"/>
  <c r="N16" i="6" s="1"/>
  <c r="P57" i="6"/>
  <c r="K65" i="6"/>
  <c r="K164" i="6"/>
  <c r="L294" i="6"/>
  <c r="L292" i="6" s="1"/>
  <c r="O292" i="6" s="1"/>
  <c r="K349" i="6"/>
  <c r="O457" i="6"/>
  <c r="J514" i="1"/>
  <c r="J545" i="1"/>
  <c r="I618" i="1"/>
  <c r="I622" i="1"/>
  <c r="J370" i="1"/>
  <c r="M22" i="4"/>
  <c r="M12" i="4" s="1"/>
  <c r="J589" i="1"/>
  <c r="I617" i="1"/>
  <c r="K620" i="4"/>
  <c r="I624" i="1"/>
  <c r="O457" i="5"/>
  <c r="J635" i="1"/>
  <c r="N33" i="6"/>
  <c r="N13" i="6" s="1"/>
  <c r="J300" i="1"/>
  <c r="J306" i="1"/>
  <c r="J378" i="1"/>
  <c r="J394" i="1"/>
  <c r="J399" i="1"/>
  <c r="K416" i="2"/>
  <c r="K464" i="2"/>
  <c r="J511" i="1"/>
  <c r="J518" i="1"/>
  <c r="J530" i="1"/>
  <c r="N601" i="1"/>
  <c r="J614" i="1"/>
  <c r="L47" i="1"/>
  <c r="K65" i="3"/>
  <c r="L98" i="3"/>
  <c r="O98" i="3" s="1"/>
  <c r="L122" i="3"/>
  <c r="L120" i="3" s="1"/>
  <c r="O120" i="3" s="1"/>
  <c r="K267" i="3"/>
  <c r="P333" i="3"/>
  <c r="O455" i="3"/>
  <c r="O597" i="3"/>
  <c r="K630" i="3"/>
  <c r="K235" i="4"/>
  <c r="L275" i="4"/>
  <c r="N292" i="4"/>
  <c r="N290" i="4" s="1"/>
  <c r="P333" i="4"/>
  <c r="K340" i="4"/>
  <c r="K376" i="4"/>
  <c r="O380" i="4"/>
  <c r="K417" i="4"/>
  <c r="K474" i="4"/>
  <c r="K499" i="4"/>
  <c r="O584" i="4"/>
  <c r="J613" i="1"/>
  <c r="I621" i="1"/>
  <c r="K624" i="4"/>
  <c r="K109" i="5"/>
  <c r="K173" i="5"/>
  <c r="K189" i="5"/>
  <c r="L275" i="5"/>
  <c r="O275" i="5" s="1"/>
  <c r="O380" i="5"/>
  <c r="K398" i="5"/>
  <c r="K591" i="5"/>
  <c r="K620" i="5"/>
  <c r="L98" i="6"/>
  <c r="L96" i="6" s="1"/>
  <c r="L94" i="6" s="1"/>
  <c r="K117" i="6"/>
  <c r="N120" i="6"/>
  <c r="N118" i="6" s="1"/>
  <c r="K380" i="6"/>
  <c r="K396" i="6"/>
  <c r="K401" i="6"/>
  <c r="K424" i="6"/>
  <c r="K368" i="3"/>
  <c r="K375" i="3"/>
  <c r="K421" i="3"/>
  <c r="K425" i="3"/>
  <c r="K499" i="3"/>
  <c r="K591" i="3"/>
  <c r="L70" i="4"/>
  <c r="O70" i="4" s="1"/>
  <c r="K80" i="4"/>
  <c r="L98" i="4"/>
  <c r="L96" i="4" s="1"/>
  <c r="L94" i="4" s="1"/>
  <c r="K216" i="4"/>
  <c r="K267" i="4"/>
  <c r="K377" i="4"/>
  <c r="K418" i="4"/>
  <c r="K422" i="4"/>
  <c r="K426" i="4"/>
  <c r="K435" i="4"/>
  <c r="N541" i="1"/>
  <c r="J548" i="1"/>
  <c r="O601" i="4"/>
  <c r="K426" i="5"/>
  <c r="K435" i="5"/>
  <c r="K455" i="5"/>
  <c r="K499" i="5"/>
  <c r="N568" i="1"/>
  <c r="J575" i="1"/>
  <c r="O601" i="5"/>
  <c r="K149" i="6"/>
  <c r="K219" i="6"/>
  <c r="P224" i="6"/>
  <c r="O401" i="6"/>
  <c r="I499" i="1"/>
  <c r="K499" i="1" s="1"/>
  <c r="J516" i="1"/>
  <c r="J524" i="1"/>
  <c r="J528" i="1"/>
  <c r="J532" i="1"/>
  <c r="L33" i="14"/>
  <c r="O33" i="14" s="1"/>
  <c r="O536" i="14"/>
  <c r="J423" i="1"/>
  <c r="J322" i="1"/>
  <c r="O535" i="6"/>
  <c r="K86" i="7"/>
  <c r="M120" i="7"/>
  <c r="P120" i="7" s="1"/>
  <c r="L275" i="7"/>
  <c r="L273" i="7" s="1"/>
  <c r="P314" i="7"/>
  <c r="O404" i="7"/>
  <c r="K417" i="7"/>
  <c r="O455" i="8"/>
  <c r="K164" i="9"/>
  <c r="K229" i="9"/>
  <c r="K345" i="9"/>
  <c r="N403" i="1"/>
  <c r="N439" i="1"/>
  <c r="J448" i="1"/>
  <c r="K473" i="9"/>
  <c r="N540" i="1"/>
  <c r="J596" i="1"/>
  <c r="K631" i="9"/>
  <c r="P57" i="10"/>
  <c r="K138" i="10"/>
  <c r="K416" i="11"/>
  <c r="O435" i="11"/>
  <c r="O459" i="11"/>
  <c r="O49" i="12"/>
  <c r="L24" i="12"/>
  <c r="O24" i="12" s="1"/>
  <c r="O74" i="12"/>
  <c r="P144" i="12"/>
  <c r="K266" i="12"/>
  <c r="P333" i="12"/>
  <c r="K81" i="16"/>
  <c r="K343" i="18"/>
  <c r="J509" i="1"/>
  <c r="N31" i="6"/>
  <c r="N11" i="6" s="1"/>
  <c r="N9" i="6" s="1"/>
  <c r="O601" i="6"/>
  <c r="K630" i="6"/>
  <c r="P57" i="7"/>
  <c r="K65" i="7"/>
  <c r="P70" i="7"/>
  <c r="P254" i="7"/>
  <c r="K369" i="7"/>
  <c r="K229" i="8"/>
  <c r="N252" i="8"/>
  <c r="N250" i="8" s="1"/>
  <c r="N273" i="8"/>
  <c r="N271" i="8" s="1"/>
  <c r="O404" i="8"/>
  <c r="K421" i="8"/>
  <c r="K473" i="8"/>
  <c r="O584" i="8"/>
  <c r="O601" i="8"/>
  <c r="K396" i="9"/>
  <c r="K424" i="9"/>
  <c r="K432" i="9"/>
  <c r="K449" i="9"/>
  <c r="O457" i="9"/>
  <c r="O535" i="9"/>
  <c r="K580" i="9"/>
  <c r="K593" i="9"/>
  <c r="O599" i="9"/>
  <c r="K619" i="9"/>
  <c r="K628" i="9"/>
  <c r="M252" i="10"/>
  <c r="P252" i="10" s="1"/>
  <c r="K421" i="10"/>
  <c r="K498" i="10"/>
  <c r="K64" i="11"/>
  <c r="K85" i="11"/>
  <c r="P98" i="11"/>
  <c r="P275" i="11"/>
  <c r="K380" i="11"/>
  <c r="K424" i="11"/>
  <c r="O439" i="11"/>
  <c r="P292" i="14"/>
  <c r="M290" i="14"/>
  <c r="P290" i="14" s="1"/>
  <c r="J302" i="1"/>
  <c r="N26" i="17"/>
  <c r="N16" i="17" s="1"/>
  <c r="P275" i="17"/>
  <c r="M273" i="17"/>
  <c r="P273" i="17" s="1"/>
  <c r="N96" i="7"/>
  <c r="N94" i="7" s="1"/>
  <c r="K213" i="7"/>
  <c r="L254" i="7"/>
  <c r="L252" i="7" s="1"/>
  <c r="O252" i="7" s="1"/>
  <c r="O349" i="7"/>
  <c r="K418" i="7"/>
  <c r="K449" i="7"/>
  <c r="L45" i="8"/>
  <c r="O45" i="8" s="1"/>
  <c r="L275" i="8"/>
  <c r="O275" i="8" s="1"/>
  <c r="O568" i="8"/>
  <c r="K350" i="9"/>
  <c r="K498" i="9"/>
  <c r="K623" i="9"/>
  <c r="L144" i="10"/>
  <c r="O144" i="10" s="1"/>
  <c r="K189" i="10"/>
  <c r="K200" i="10"/>
  <c r="P275" i="10"/>
  <c r="O380" i="10"/>
  <c r="K425" i="10"/>
  <c r="K429" i="10"/>
  <c r="K449" i="10"/>
  <c r="K473" i="10"/>
  <c r="K376" i="11"/>
  <c r="K397" i="11"/>
  <c r="K421" i="11"/>
  <c r="K449" i="11"/>
  <c r="K474" i="11"/>
  <c r="O568" i="11"/>
  <c r="K634" i="11"/>
  <c r="L144" i="12"/>
  <c r="O144" i="12" s="1"/>
  <c r="K164" i="12"/>
  <c r="K341" i="12"/>
  <c r="L33" i="13"/>
  <c r="O33" i="13" s="1"/>
  <c r="K632" i="15"/>
  <c r="K235" i="17"/>
  <c r="K564" i="6"/>
  <c r="P98" i="8"/>
  <c r="O383" i="8"/>
  <c r="K149" i="9"/>
  <c r="K219" i="9"/>
  <c r="N22" i="10"/>
  <c r="P45" i="10"/>
  <c r="K285" i="10"/>
  <c r="K340" i="10"/>
  <c r="K398" i="10"/>
  <c r="K402" i="10"/>
  <c r="O437" i="10"/>
  <c r="O566" i="10"/>
  <c r="K593" i="10"/>
  <c r="K628" i="10"/>
  <c r="N34" i="11"/>
  <c r="N14" i="11" s="1"/>
  <c r="N120" i="12"/>
  <c r="N118" i="12" s="1"/>
  <c r="N292" i="12"/>
  <c r="N290" i="12" s="1"/>
  <c r="M331" i="12"/>
  <c r="M329" i="12" s="1"/>
  <c r="J623" i="1"/>
  <c r="M273" i="14"/>
  <c r="M271" i="14" s="1"/>
  <c r="P275" i="14"/>
  <c r="N436" i="1"/>
  <c r="M49" i="7"/>
  <c r="P49" i="7" s="1"/>
  <c r="K138" i="7"/>
  <c r="P144" i="7"/>
  <c r="K204" i="7"/>
  <c r="O354" i="7"/>
  <c r="K419" i="7"/>
  <c r="K450" i="7"/>
  <c r="K564" i="7"/>
  <c r="K138" i="8"/>
  <c r="K219" i="8"/>
  <c r="O457" i="8"/>
  <c r="K611" i="8"/>
  <c r="K418" i="9"/>
  <c r="K426" i="9"/>
  <c r="K430" i="9"/>
  <c r="K435" i="9"/>
  <c r="K450" i="9"/>
  <c r="K499" i="9"/>
  <c r="K629" i="9"/>
  <c r="K481" i="10"/>
  <c r="K533" i="10"/>
  <c r="O553" i="10"/>
  <c r="O584" i="10"/>
  <c r="K620" i="10"/>
  <c r="K138" i="11"/>
  <c r="P224" i="11"/>
  <c r="L333" i="11"/>
  <c r="O333" i="11" s="1"/>
  <c r="K377" i="11"/>
  <c r="K422" i="11"/>
  <c r="N32" i="11"/>
  <c r="N30" i="11" s="1"/>
  <c r="K547" i="11"/>
  <c r="K595" i="11"/>
  <c r="K631" i="11"/>
  <c r="K635" i="11"/>
  <c r="N43" i="12"/>
  <c r="N41" i="12" s="1"/>
  <c r="L254" i="12"/>
  <c r="O254" i="12" s="1"/>
  <c r="O337" i="12"/>
  <c r="J579" i="1"/>
  <c r="L24" i="15"/>
  <c r="O24" i="15" s="1"/>
  <c r="K620" i="15"/>
  <c r="K624" i="15"/>
  <c r="J515" i="1"/>
  <c r="O533" i="6"/>
  <c r="K573" i="6"/>
  <c r="L144" i="7"/>
  <c r="L142" i="7" s="1"/>
  <c r="K343" i="8"/>
  <c r="O406" i="8"/>
  <c r="K419" i="8"/>
  <c r="K423" i="8"/>
  <c r="K427" i="8"/>
  <c r="K455" i="8"/>
  <c r="O599" i="8"/>
  <c r="N68" i="9"/>
  <c r="N66" i="9" s="1"/>
  <c r="K340" i="9"/>
  <c r="K372" i="9"/>
  <c r="K376" i="9"/>
  <c r="O597" i="9"/>
  <c r="O601" i="9"/>
  <c r="N55" i="10"/>
  <c r="P55" i="10" s="1"/>
  <c r="K64" i="10"/>
  <c r="N222" i="10"/>
  <c r="N220" i="10" s="1"/>
  <c r="K430" i="10"/>
  <c r="K455" i="10"/>
  <c r="M43" i="11"/>
  <c r="M41" i="11" s="1"/>
  <c r="N31" i="11"/>
  <c r="N29" i="11" s="1"/>
  <c r="M68" i="13"/>
  <c r="P70" i="13"/>
  <c r="N34" i="14"/>
  <c r="N14" i="14" s="1"/>
  <c r="N555" i="1"/>
  <c r="M252" i="16"/>
  <c r="M250" i="16" s="1"/>
  <c r="P250" i="16" s="1"/>
  <c r="P254" i="16"/>
  <c r="J512" i="1"/>
  <c r="O401" i="18"/>
  <c r="K633" i="6"/>
  <c r="N55" i="7"/>
  <c r="N53" i="7" s="1"/>
  <c r="K81" i="7"/>
  <c r="K173" i="7"/>
  <c r="K189" i="7"/>
  <c r="K200" i="7"/>
  <c r="K380" i="7"/>
  <c r="K420" i="7"/>
  <c r="K427" i="7"/>
  <c r="K431" i="7"/>
  <c r="K547" i="7"/>
  <c r="K81" i="8"/>
  <c r="K132" i="8"/>
  <c r="K173" i="8"/>
  <c r="L333" i="8"/>
  <c r="L331" i="8" s="1"/>
  <c r="L329" i="8" s="1"/>
  <c r="K340" i="8"/>
  <c r="K482" i="8"/>
  <c r="O533" i="8"/>
  <c r="K589" i="8"/>
  <c r="L70" i="9"/>
  <c r="O70" i="9" s="1"/>
  <c r="L122" i="9"/>
  <c r="O122" i="9" s="1"/>
  <c r="L144" i="9"/>
  <c r="L142" i="9" s="1"/>
  <c r="K173" i="9"/>
  <c r="L294" i="9"/>
  <c r="O294" i="9" s="1"/>
  <c r="K328" i="9"/>
  <c r="K377" i="9"/>
  <c r="K381" i="9"/>
  <c r="O385" i="9"/>
  <c r="K419" i="9"/>
  <c r="K427" i="9"/>
  <c r="K431" i="9"/>
  <c r="K595" i="9"/>
  <c r="K614" i="9"/>
  <c r="K86" i="10"/>
  <c r="K149" i="10"/>
  <c r="L254" i="10"/>
  <c r="L252" i="10" s="1"/>
  <c r="K416" i="10"/>
  <c r="K423" i="10"/>
  <c r="K427" i="10"/>
  <c r="K431" i="10"/>
  <c r="K482" i="10"/>
  <c r="O601" i="10"/>
  <c r="K624" i="10"/>
  <c r="N142" i="11"/>
  <c r="N140" i="11" s="1"/>
  <c r="K173" i="11"/>
  <c r="O385" i="11"/>
  <c r="K464" i="11"/>
  <c r="K580" i="11"/>
  <c r="K589" i="11"/>
  <c r="O599" i="11"/>
  <c r="K615" i="11"/>
  <c r="L98" i="12"/>
  <c r="O98" i="12" s="1"/>
  <c r="K108" i="12"/>
  <c r="P122" i="12"/>
  <c r="K265" i="12"/>
  <c r="O347" i="12"/>
  <c r="O354" i="12"/>
  <c r="O380" i="18"/>
  <c r="N389" i="1"/>
  <c r="K164" i="13"/>
  <c r="K235" i="13"/>
  <c r="K396" i="13"/>
  <c r="K416" i="13"/>
  <c r="K614" i="13"/>
  <c r="K618" i="13"/>
  <c r="K149" i="14"/>
  <c r="N292" i="14"/>
  <c r="N290" i="14" s="1"/>
  <c r="K417" i="14"/>
  <c r="K474" i="14"/>
  <c r="K216" i="15"/>
  <c r="K380" i="15"/>
  <c r="O383" i="15"/>
  <c r="O439" i="15"/>
  <c r="O459" i="15"/>
  <c r="O537" i="15"/>
  <c r="K85" i="16"/>
  <c r="K200" i="16"/>
  <c r="K235" i="16"/>
  <c r="K368" i="16"/>
  <c r="K376" i="16"/>
  <c r="K426" i="16"/>
  <c r="O455" i="16"/>
  <c r="O601" i="16"/>
  <c r="M68" i="17"/>
  <c r="P68" i="17" s="1"/>
  <c r="K185" i="17"/>
  <c r="K229" i="17"/>
  <c r="P314" i="17"/>
  <c r="K349" i="17"/>
  <c r="K381" i="17"/>
  <c r="K402" i="17"/>
  <c r="K466" i="17"/>
  <c r="K474" i="17"/>
  <c r="K498" i="17"/>
  <c r="K112" i="18"/>
  <c r="K289" i="18"/>
  <c r="K309" i="18"/>
  <c r="K398" i="18"/>
  <c r="K425" i="18"/>
  <c r="K547" i="18"/>
  <c r="O564" i="18"/>
  <c r="O568" i="18"/>
  <c r="K628" i="18"/>
  <c r="K370" i="12"/>
  <c r="O406" i="12"/>
  <c r="O533" i="12"/>
  <c r="O537" i="12"/>
  <c r="K499" i="13"/>
  <c r="K611" i="13"/>
  <c r="N222" i="14"/>
  <c r="N220" i="14" s="1"/>
  <c r="L31" i="14"/>
  <c r="O31" i="14" s="1"/>
  <c r="N31" i="14"/>
  <c r="N29" i="14" s="1"/>
  <c r="N34" i="15"/>
  <c r="N14" i="15" s="1"/>
  <c r="N292" i="16"/>
  <c r="N290" i="16" s="1"/>
  <c r="K465" i="16"/>
  <c r="K622" i="16"/>
  <c r="K625" i="16"/>
  <c r="K109" i="17"/>
  <c r="K186" i="17"/>
  <c r="K345" i="17"/>
  <c r="N34" i="12"/>
  <c r="N14" i="12" s="1"/>
  <c r="K133" i="13"/>
  <c r="K270" i="13"/>
  <c r="O337" i="13"/>
  <c r="K376" i="13"/>
  <c r="O404" i="13"/>
  <c r="K619" i="13"/>
  <c r="K113" i="14"/>
  <c r="K173" i="14"/>
  <c r="O383" i="14"/>
  <c r="K397" i="14"/>
  <c r="K422" i="14"/>
  <c r="K426" i="14"/>
  <c r="O437" i="14"/>
  <c r="O457" i="14"/>
  <c r="O564" i="14"/>
  <c r="L32" i="14"/>
  <c r="L30" i="14" s="1"/>
  <c r="K623" i="14"/>
  <c r="K350" i="15"/>
  <c r="K376" i="15"/>
  <c r="O380" i="15"/>
  <c r="O404" i="15"/>
  <c r="K421" i="15"/>
  <c r="K425" i="15"/>
  <c r="N33" i="15"/>
  <c r="N13" i="15" s="1"/>
  <c r="K377" i="16"/>
  <c r="K381" i="16"/>
  <c r="N34" i="16"/>
  <c r="N14" i="16" s="1"/>
  <c r="K427" i="16"/>
  <c r="K435" i="17"/>
  <c r="K455" i="17"/>
  <c r="K613" i="17"/>
  <c r="K635" i="17"/>
  <c r="K64" i="18"/>
  <c r="M120" i="18"/>
  <c r="P120" i="18" s="1"/>
  <c r="K149" i="18"/>
  <c r="K235" i="18"/>
  <c r="L333" i="18"/>
  <c r="L331" i="18" s="1"/>
  <c r="L329" i="18" s="1"/>
  <c r="K370" i="18"/>
  <c r="O385" i="18"/>
  <c r="K418" i="18"/>
  <c r="K481" i="18"/>
  <c r="N31" i="12"/>
  <c r="N29" i="12" s="1"/>
  <c r="O435" i="12"/>
  <c r="O439" i="12"/>
  <c r="K547" i="12"/>
  <c r="K629" i="13"/>
  <c r="K189" i="14"/>
  <c r="N252" i="14"/>
  <c r="N250" i="14" s="1"/>
  <c r="K340" i="14"/>
  <c r="O352" i="14"/>
  <c r="K370" i="14"/>
  <c r="K551" i="14"/>
  <c r="N252" i="15"/>
  <c r="N250" i="15" s="1"/>
  <c r="I367" i="15"/>
  <c r="K367" i="15" s="1"/>
  <c r="N142" i="16"/>
  <c r="N140" i="16" s="1"/>
  <c r="K158" i="16"/>
  <c r="K449" i="16"/>
  <c r="K466" i="16"/>
  <c r="K473" i="16"/>
  <c r="K573" i="16"/>
  <c r="N55" i="17"/>
  <c r="N53" i="17" s="1"/>
  <c r="N222" i="17"/>
  <c r="N220" i="17" s="1"/>
  <c r="K266" i="17"/>
  <c r="K431" i="17"/>
  <c r="O435" i="17"/>
  <c r="K86" i="18"/>
  <c r="K345" i="18"/>
  <c r="O349" i="18"/>
  <c r="K219" i="13"/>
  <c r="K343" i="13"/>
  <c r="K377" i="13"/>
  <c r="O439" i="13"/>
  <c r="K616" i="13"/>
  <c r="K164" i="14"/>
  <c r="P45" i="15"/>
  <c r="L333" i="15"/>
  <c r="O333" i="15" s="1"/>
  <c r="K377" i="15"/>
  <c r="K398" i="15"/>
  <c r="K429" i="15"/>
  <c r="O437" i="15"/>
  <c r="L57" i="16"/>
  <c r="L55" i="16" s="1"/>
  <c r="L53" i="16" s="1"/>
  <c r="K80" i="16"/>
  <c r="P275" i="16"/>
  <c r="K349" i="16"/>
  <c r="O352" i="16"/>
  <c r="K428" i="16"/>
  <c r="K92" i="17"/>
  <c r="P122" i="17"/>
  <c r="N142" i="17"/>
  <c r="N140" i="17" s="1"/>
  <c r="K219" i="17"/>
  <c r="K267" i="17"/>
  <c r="K533" i="17"/>
  <c r="K375" i="18"/>
  <c r="K396" i="18"/>
  <c r="K423" i="18"/>
  <c r="K464" i="18"/>
  <c r="K417" i="12"/>
  <c r="K424" i="12"/>
  <c r="K432" i="12"/>
  <c r="K93" i="14"/>
  <c r="L254" i="14"/>
  <c r="L252" i="14" s="1"/>
  <c r="O252" i="14" s="1"/>
  <c r="K398" i="14"/>
  <c r="N43" i="15"/>
  <c r="N41" i="15" s="1"/>
  <c r="N31" i="15"/>
  <c r="N11" i="15" s="1"/>
  <c r="N9" i="15" s="1"/>
  <c r="K533" i="15"/>
  <c r="O597" i="16"/>
  <c r="K65" i="18"/>
  <c r="P144" i="18"/>
  <c r="K350" i="18"/>
  <c r="O580" i="18"/>
  <c r="K376" i="12"/>
  <c r="K425" i="12"/>
  <c r="K429" i="12"/>
  <c r="O568" i="12"/>
  <c r="K628" i="12"/>
  <c r="K340" i="13"/>
  <c r="O406" i="13"/>
  <c r="K426" i="13"/>
  <c r="K466" i="13"/>
  <c r="K498" i="13"/>
  <c r="O568" i="13"/>
  <c r="O597" i="13"/>
  <c r="K617" i="13"/>
  <c r="K634" i="13"/>
  <c r="K424" i="14"/>
  <c r="K432" i="14"/>
  <c r="O439" i="14"/>
  <c r="O459" i="14"/>
  <c r="K465" i="14"/>
  <c r="K473" i="14"/>
  <c r="K591" i="14"/>
  <c r="K634" i="14"/>
  <c r="K80" i="15"/>
  <c r="L294" i="15"/>
  <c r="O294" i="15" s="1"/>
  <c r="K450" i="15"/>
  <c r="K573" i="15"/>
  <c r="K635" i="15"/>
  <c r="M22" i="16"/>
  <c r="M12" i="16" s="1"/>
  <c r="K84" i="16"/>
  <c r="K199" i="16"/>
  <c r="L224" i="16"/>
  <c r="L222" i="16" s="1"/>
  <c r="K345" i="16"/>
  <c r="K375" i="16"/>
  <c r="O437" i="16"/>
  <c r="K455" i="16"/>
  <c r="K474" i="16"/>
  <c r="K499" i="16"/>
  <c r="O568" i="16"/>
  <c r="K617" i="16"/>
  <c r="K117" i="17"/>
  <c r="K173" i="17"/>
  <c r="K189" i="17"/>
  <c r="K249" i="17"/>
  <c r="O347" i="17"/>
  <c r="O401" i="17"/>
  <c r="K418" i="17"/>
  <c r="N31" i="17"/>
  <c r="N29" i="17" s="1"/>
  <c r="N34" i="17"/>
  <c r="N14" i="17" s="1"/>
  <c r="K473" i="17"/>
  <c r="K573" i="17"/>
  <c r="L45" i="18"/>
  <c r="L43" i="18" s="1"/>
  <c r="L122" i="18"/>
  <c r="L120" i="18" s="1"/>
  <c r="O120" i="18" s="1"/>
  <c r="K368" i="18"/>
  <c r="K376" i="18"/>
  <c r="K397" i="18"/>
  <c r="K465" i="18"/>
  <c r="K497" i="18"/>
  <c r="O537" i="18"/>
  <c r="K564" i="18"/>
  <c r="O597" i="18"/>
  <c r="O382" i="2"/>
  <c r="L382" i="1"/>
  <c r="O382" i="1" s="1"/>
  <c r="O403" i="2"/>
  <c r="L403" i="1"/>
  <c r="O403" i="1" s="1"/>
  <c r="O601" i="2"/>
  <c r="L601" i="1"/>
  <c r="M292" i="8"/>
  <c r="M290" i="8" s="1"/>
  <c r="P290" i="8" s="1"/>
  <c r="P294" i="8"/>
  <c r="O352" i="9"/>
  <c r="N352" i="1"/>
  <c r="K611" i="9"/>
  <c r="J611" i="1"/>
  <c r="O599" i="12"/>
  <c r="L599" i="1"/>
  <c r="K631" i="14"/>
  <c r="I631" i="1"/>
  <c r="K507" i="15"/>
  <c r="I507" i="1"/>
  <c r="K507" i="1" s="1"/>
  <c r="K578" i="15"/>
  <c r="I578" i="1"/>
  <c r="K578" i="1" s="1"/>
  <c r="O555" i="16"/>
  <c r="L34" i="16"/>
  <c r="O565" i="16"/>
  <c r="L31" i="16"/>
  <c r="L11" i="16" s="1"/>
  <c r="L565" i="1"/>
  <c r="O565" i="1" s="1"/>
  <c r="O347" i="18"/>
  <c r="L347" i="1"/>
  <c r="K452" i="18"/>
  <c r="I452" i="1"/>
  <c r="K452" i="1" s="1"/>
  <c r="K512" i="18"/>
  <c r="I512" i="1"/>
  <c r="K512" i="1" s="1"/>
  <c r="O581" i="18"/>
  <c r="L581" i="1"/>
  <c r="O581" i="1" s="1"/>
  <c r="K615" i="18"/>
  <c r="K619" i="18"/>
  <c r="K616" i="18"/>
  <c r="K618" i="18"/>
  <c r="K611" i="18"/>
  <c r="I611" i="1"/>
  <c r="M43" i="2"/>
  <c r="M41" i="2" s="1"/>
  <c r="P45" i="2"/>
  <c r="O438" i="2"/>
  <c r="L438" i="1"/>
  <c r="O438" i="1" s="1"/>
  <c r="I451" i="1"/>
  <c r="K451" i="2"/>
  <c r="K508" i="2"/>
  <c r="I508" i="1"/>
  <c r="K508" i="1" s="1"/>
  <c r="J608" i="1"/>
  <c r="O439" i="6"/>
  <c r="L439" i="1"/>
  <c r="K481" i="6"/>
  <c r="I481" i="1"/>
  <c r="L567" i="1"/>
  <c r="O567" i="1" s="1"/>
  <c r="I632" i="1"/>
  <c r="L68" i="2"/>
  <c r="L66" i="2" s="1"/>
  <c r="O70" i="2"/>
  <c r="M294" i="1"/>
  <c r="M292" i="2"/>
  <c r="P292" i="2" s="1"/>
  <c r="P294" i="2"/>
  <c r="I375" i="1"/>
  <c r="K375" i="2"/>
  <c r="K515" i="2"/>
  <c r="I515" i="1"/>
  <c r="K515" i="1" s="1"/>
  <c r="O534" i="2"/>
  <c r="L534" i="1"/>
  <c r="O534" i="1" s="1"/>
  <c r="L33" i="4"/>
  <c r="O33" i="4" s="1"/>
  <c r="O458" i="4"/>
  <c r="K464" i="4"/>
  <c r="I464" i="1"/>
  <c r="K496" i="4"/>
  <c r="I496" i="1"/>
  <c r="K496" i="1" s="1"/>
  <c r="L435" i="1"/>
  <c r="O435" i="2"/>
  <c r="K505" i="2"/>
  <c r="I505" i="1"/>
  <c r="K505" i="1" s="1"/>
  <c r="K577" i="2"/>
  <c r="I577" i="1"/>
  <c r="K577" i="1" s="1"/>
  <c r="K592" i="2"/>
  <c r="I592" i="1"/>
  <c r="K592" i="1" s="1"/>
  <c r="I200" i="1"/>
  <c r="K173" i="2"/>
  <c r="L224" i="2"/>
  <c r="O224" i="2" s="1"/>
  <c r="M252" i="2"/>
  <c r="M250" i="2" s="1"/>
  <c r="P254" i="2"/>
  <c r="L31" i="2"/>
  <c r="O31" i="2" s="1"/>
  <c r="O351" i="2"/>
  <c r="K418" i="2"/>
  <c r="I418" i="1"/>
  <c r="J473" i="1"/>
  <c r="O583" i="2"/>
  <c r="L583" i="1"/>
  <c r="O583" i="1" s="1"/>
  <c r="I589" i="1"/>
  <c r="K589" i="2"/>
  <c r="L224" i="3"/>
  <c r="N604" i="1"/>
  <c r="J615" i="1"/>
  <c r="K349" i="2"/>
  <c r="I349" i="1"/>
  <c r="K470" i="2"/>
  <c r="I470" i="1"/>
  <c r="K470" i="1" s="1"/>
  <c r="I573" i="1"/>
  <c r="K573" i="2"/>
  <c r="O401" i="3"/>
  <c r="N401" i="1"/>
  <c r="K426" i="3"/>
  <c r="J426" i="1"/>
  <c r="P254" i="6"/>
  <c r="M252" i="6"/>
  <c r="M292" i="6"/>
  <c r="P292" i="6" s="1"/>
  <c r="P294" i="6"/>
  <c r="K345" i="2"/>
  <c r="I345" i="1"/>
  <c r="O553" i="2"/>
  <c r="L553" i="1"/>
  <c r="M292" i="5"/>
  <c r="P292" i="5" s="1"/>
  <c r="P294" i="5"/>
  <c r="M331" i="5"/>
  <c r="P333" i="5"/>
  <c r="L537" i="1"/>
  <c r="O318" i="2"/>
  <c r="L318" i="1"/>
  <c r="O318" i="1" s="1"/>
  <c r="K342" i="2"/>
  <c r="I342" i="1"/>
  <c r="K342" i="1" s="1"/>
  <c r="O457" i="2"/>
  <c r="L457" i="1"/>
  <c r="N553" i="1"/>
  <c r="N32" i="2"/>
  <c r="N30" i="2" s="1"/>
  <c r="J630" i="1"/>
  <c r="K630" i="2"/>
  <c r="K82" i="3"/>
  <c r="K108" i="3"/>
  <c r="K377" i="3"/>
  <c r="N34" i="5"/>
  <c r="N14" i="5" s="1"/>
  <c r="K425" i="6"/>
  <c r="O382" i="8"/>
  <c r="L31" i="8"/>
  <c r="O404" i="11"/>
  <c r="L32" i="11"/>
  <c r="K164" i="2"/>
  <c r="K328" i="2"/>
  <c r="K429" i="2"/>
  <c r="O568" i="2"/>
  <c r="K614" i="2"/>
  <c r="K497" i="3"/>
  <c r="O599" i="3"/>
  <c r="O351" i="6"/>
  <c r="L31" i="6"/>
  <c r="L11" i="6" s="1"/>
  <c r="K615" i="7"/>
  <c r="K616" i="7"/>
  <c r="I489" i="1"/>
  <c r="K489" i="1" s="1"/>
  <c r="L536" i="1"/>
  <c r="O536" i="1" s="1"/>
  <c r="N599" i="1"/>
  <c r="L45" i="2"/>
  <c r="O45" i="2" s="1"/>
  <c r="K158" i="2"/>
  <c r="K235" i="2"/>
  <c r="P333" i="2"/>
  <c r="O383" i="2"/>
  <c r="K401" i="2"/>
  <c r="K426" i="2"/>
  <c r="O439" i="2"/>
  <c r="K499" i="2"/>
  <c r="O584" i="2"/>
  <c r="O599" i="2"/>
  <c r="M53" i="3"/>
  <c r="P70" i="3"/>
  <c r="N96" i="3"/>
  <c r="N94" i="3" s="1"/>
  <c r="K109" i="3"/>
  <c r="P122" i="3"/>
  <c r="N142" i="3"/>
  <c r="N140" i="3" s="1"/>
  <c r="P140" i="3" s="1"/>
  <c r="K199" i="3"/>
  <c r="N26" i="3"/>
  <c r="N16" i="3" s="1"/>
  <c r="L32" i="4"/>
  <c r="K616" i="5"/>
  <c r="K611" i="5"/>
  <c r="K614" i="5"/>
  <c r="N43" i="6"/>
  <c r="N41" i="6" s="1"/>
  <c r="I423" i="1"/>
  <c r="P122" i="2"/>
  <c r="N458" i="1"/>
  <c r="P57" i="3"/>
  <c r="K173" i="3"/>
  <c r="K219" i="3"/>
  <c r="K229" i="3"/>
  <c r="K270" i="3"/>
  <c r="K345" i="3"/>
  <c r="O349" i="3"/>
  <c r="O352" i="3"/>
  <c r="K380" i="3"/>
  <c r="L24" i="5"/>
  <c r="O24" i="5" s="1"/>
  <c r="L144" i="5"/>
  <c r="M22" i="6"/>
  <c r="M12" i="6" s="1"/>
  <c r="M273" i="6"/>
  <c r="P275" i="6"/>
  <c r="I471" i="1"/>
  <c r="K471" i="1" s="1"/>
  <c r="I475" i="1"/>
  <c r="K475" i="1" s="1"/>
  <c r="I504" i="1"/>
  <c r="K504" i="1" s="1"/>
  <c r="N120" i="2"/>
  <c r="N118" i="2" s="1"/>
  <c r="J202" i="1"/>
  <c r="J212" i="1"/>
  <c r="K229" i="2"/>
  <c r="K309" i="2"/>
  <c r="N312" i="2"/>
  <c r="K340" i="2"/>
  <c r="K397" i="2"/>
  <c r="O401" i="2"/>
  <c r="K449" i="2"/>
  <c r="K632" i="2"/>
  <c r="P45" i="3"/>
  <c r="K93" i="3"/>
  <c r="K266" i="3"/>
  <c r="P294" i="3"/>
  <c r="K401" i="3"/>
  <c r="O404" i="3"/>
  <c r="K481" i="3"/>
  <c r="L24" i="4"/>
  <c r="O24" i="4" s="1"/>
  <c r="K473" i="4"/>
  <c r="O555" i="4"/>
  <c r="K229" i="5"/>
  <c r="K345" i="5"/>
  <c r="O584" i="5"/>
  <c r="K85" i="6"/>
  <c r="K466" i="6"/>
  <c r="J624" i="1"/>
  <c r="N55" i="2"/>
  <c r="N53" i="2" s="1"/>
  <c r="N586" i="1"/>
  <c r="N600" i="1"/>
  <c r="L144" i="2"/>
  <c r="O144" i="2" s="1"/>
  <c r="K219" i="2"/>
  <c r="N222" i="2"/>
  <c r="N220" i="2" s="1"/>
  <c r="P275" i="2"/>
  <c r="L24" i="2"/>
  <c r="O24" i="2" s="1"/>
  <c r="J367" i="1"/>
  <c r="K398" i="2"/>
  <c r="K421" i="2"/>
  <c r="K497" i="2"/>
  <c r="O533" i="2"/>
  <c r="K580" i="2"/>
  <c r="K591" i="2"/>
  <c r="K595" i="2"/>
  <c r="K633" i="2"/>
  <c r="K81" i="3"/>
  <c r="L254" i="3"/>
  <c r="L252" i="3" s="1"/>
  <c r="L275" i="3"/>
  <c r="L273" i="3" s="1"/>
  <c r="K285" i="3"/>
  <c r="L294" i="3"/>
  <c r="L292" i="3" s="1"/>
  <c r="O347" i="3"/>
  <c r="K370" i="3"/>
  <c r="O380" i="3"/>
  <c r="K397" i="3"/>
  <c r="K589" i="4"/>
  <c r="M222" i="5"/>
  <c r="P224" i="5"/>
  <c r="O435" i="5"/>
  <c r="O568" i="5"/>
  <c r="K635" i="5"/>
  <c r="K113" i="6"/>
  <c r="O459" i="3"/>
  <c r="O533" i="3"/>
  <c r="O580" i="3"/>
  <c r="K149" i="4"/>
  <c r="N33" i="4"/>
  <c r="N13" i="4" s="1"/>
  <c r="J610" i="1"/>
  <c r="K635" i="4"/>
  <c r="K618" i="5"/>
  <c r="K375" i="6"/>
  <c r="O406" i="6"/>
  <c r="K432" i="6"/>
  <c r="K455" i="6"/>
  <c r="M22" i="9"/>
  <c r="M20" i="9" s="1"/>
  <c r="M55" i="9"/>
  <c r="P57" i="9"/>
  <c r="K417" i="3"/>
  <c r="K619" i="3"/>
  <c r="K81" i="4"/>
  <c r="J197" i="1"/>
  <c r="K229" i="4"/>
  <c r="O439" i="4"/>
  <c r="K614" i="4"/>
  <c r="K618" i="4"/>
  <c r="K149" i="5"/>
  <c r="K200" i="5"/>
  <c r="L294" i="5"/>
  <c r="L292" i="5" s="1"/>
  <c r="O292" i="5" s="1"/>
  <c r="N32" i="5"/>
  <c r="N30" i="5" s="1"/>
  <c r="K422" i="5"/>
  <c r="K464" i="5"/>
  <c r="K615" i="5"/>
  <c r="K625" i="5"/>
  <c r="K629" i="5"/>
  <c r="M102" i="6"/>
  <c r="P102" i="6" s="1"/>
  <c r="P144" i="6"/>
  <c r="N222" i="6"/>
  <c r="N220" i="6" s="1"/>
  <c r="L275" i="6"/>
  <c r="L273" i="6" s="1"/>
  <c r="O273" i="6" s="1"/>
  <c r="K372" i="6"/>
  <c r="K473" i="6"/>
  <c r="O537" i="6"/>
  <c r="O347" i="7"/>
  <c r="K435" i="7"/>
  <c r="K65" i="8"/>
  <c r="K616" i="3"/>
  <c r="P294" i="4"/>
  <c r="K625" i="4"/>
  <c r="L23" i="5"/>
  <c r="O23" i="5" s="1"/>
  <c r="N96" i="5"/>
  <c r="N94" i="5" s="1"/>
  <c r="L333" i="5"/>
  <c r="L331" i="5" s="1"/>
  <c r="N31" i="5"/>
  <c r="N29" i="5" s="1"/>
  <c r="K612" i="5"/>
  <c r="P45" i="6"/>
  <c r="P70" i="6"/>
  <c r="O404" i="6"/>
  <c r="K449" i="6"/>
  <c r="K625" i="6"/>
  <c r="K621" i="6"/>
  <c r="K623" i="6"/>
  <c r="K620" i="6"/>
  <c r="K626" i="6"/>
  <c r="N33" i="8"/>
  <c r="N13" i="8" s="1"/>
  <c r="K398" i="3"/>
  <c r="K629" i="3"/>
  <c r="K632" i="3"/>
  <c r="K285" i="4"/>
  <c r="L294" i="4"/>
  <c r="L292" i="4" s="1"/>
  <c r="O354" i="4"/>
  <c r="K375" i="4"/>
  <c r="K398" i="4"/>
  <c r="O437" i="4"/>
  <c r="N32" i="4"/>
  <c r="N30" i="4" s="1"/>
  <c r="K564" i="4"/>
  <c r="O582" i="4"/>
  <c r="K615" i="4"/>
  <c r="P144" i="5"/>
  <c r="N33" i="5"/>
  <c r="N13" i="5" s="1"/>
  <c r="J391" i="1"/>
  <c r="J397" i="1"/>
  <c r="K465" i="5"/>
  <c r="K497" i="5"/>
  <c r="K547" i="5"/>
  <c r="L70" i="6"/>
  <c r="L68" i="6" s="1"/>
  <c r="K80" i="6"/>
  <c r="K340" i="6"/>
  <c r="K423" i="6"/>
  <c r="M292" i="7"/>
  <c r="P292" i="7" s="1"/>
  <c r="P294" i="7"/>
  <c r="N33" i="3"/>
  <c r="N13" i="3" s="1"/>
  <c r="K617" i="3"/>
  <c r="N26" i="4"/>
  <c r="N16" i="4" s="1"/>
  <c r="K189" i="4"/>
  <c r="N222" i="4"/>
  <c r="P222" i="4" s="1"/>
  <c r="K580" i="4"/>
  <c r="O597" i="4"/>
  <c r="N142" i="5"/>
  <c r="N140" i="5" s="1"/>
  <c r="K623" i="5"/>
  <c r="K626" i="5"/>
  <c r="L333" i="6"/>
  <c r="L331" i="6" s="1"/>
  <c r="K381" i="6"/>
  <c r="K397" i="6"/>
  <c r="K435" i="6"/>
  <c r="K465" i="6"/>
  <c r="L333" i="7"/>
  <c r="O333" i="7" s="1"/>
  <c r="O439" i="3"/>
  <c r="O457" i="3"/>
  <c r="K547" i="3"/>
  <c r="O564" i="3"/>
  <c r="K614" i="3"/>
  <c r="K65" i="4"/>
  <c r="K109" i="4"/>
  <c r="K164" i="4"/>
  <c r="K185" i="4"/>
  <c r="L314" i="4"/>
  <c r="L312" i="4" s="1"/>
  <c r="K324" i="4"/>
  <c r="O337" i="4"/>
  <c r="K349" i="4"/>
  <c r="K421" i="4"/>
  <c r="K455" i="4"/>
  <c r="O551" i="4"/>
  <c r="K595" i="4"/>
  <c r="K626" i="4"/>
  <c r="K631" i="4"/>
  <c r="K92" i="5"/>
  <c r="K133" i="5"/>
  <c r="O385" i="5"/>
  <c r="O535" i="5"/>
  <c r="K84" i="6"/>
  <c r="K199" i="6"/>
  <c r="K270" i="6"/>
  <c r="L314" i="6"/>
  <c r="O314" i="6" s="1"/>
  <c r="O354" i="6"/>
  <c r="K398" i="6"/>
  <c r="K402" i="6"/>
  <c r="K421" i="6"/>
  <c r="M312" i="9"/>
  <c r="P312" i="9" s="1"/>
  <c r="P314" i="9"/>
  <c r="N34" i="9"/>
  <c r="N14" i="9" s="1"/>
  <c r="K597" i="6"/>
  <c r="K216" i="7"/>
  <c r="N222" i="7"/>
  <c r="N220" i="7" s="1"/>
  <c r="O337" i="7"/>
  <c r="K611" i="7"/>
  <c r="N68" i="8"/>
  <c r="N66" i="8" s="1"/>
  <c r="L24" i="9"/>
  <c r="O24" i="9" s="1"/>
  <c r="K343" i="9"/>
  <c r="K401" i="9"/>
  <c r="O455" i="9"/>
  <c r="K464" i="9"/>
  <c r="N34" i="6"/>
  <c r="N14" i="6" s="1"/>
  <c r="N68" i="7"/>
  <c r="N66" i="7" s="1"/>
  <c r="M337" i="7"/>
  <c r="P337" i="7" s="1"/>
  <c r="K341" i="7"/>
  <c r="K368" i="7"/>
  <c r="K375" i="7"/>
  <c r="K428" i="7"/>
  <c r="K464" i="7"/>
  <c r="K619" i="7"/>
  <c r="L24" i="8"/>
  <c r="O24" i="8" s="1"/>
  <c r="K213" i="8"/>
  <c r="K270" i="8"/>
  <c r="K285" i="8"/>
  <c r="K623" i="8"/>
  <c r="K631" i="8"/>
  <c r="M96" i="9"/>
  <c r="P96" i="9" s="1"/>
  <c r="K397" i="9"/>
  <c r="K416" i="9"/>
  <c r="K420" i="9"/>
  <c r="K423" i="9"/>
  <c r="O459" i="9"/>
  <c r="K474" i="9"/>
  <c r="O533" i="9"/>
  <c r="K597" i="9"/>
  <c r="K615" i="9"/>
  <c r="K630" i="9"/>
  <c r="K634" i="9"/>
  <c r="M22" i="10"/>
  <c r="M12" i="10" s="1"/>
  <c r="L32" i="10"/>
  <c r="L30" i="10" s="1"/>
  <c r="N26" i="10"/>
  <c r="N16" i="10" s="1"/>
  <c r="K635" i="10"/>
  <c r="K65" i="11"/>
  <c r="M312" i="11"/>
  <c r="M310" i="11" s="1"/>
  <c r="P310" i="11" s="1"/>
  <c r="P314" i="11"/>
  <c r="O458" i="12"/>
  <c r="L33" i="12"/>
  <c r="O33" i="12" s="1"/>
  <c r="M22" i="7"/>
  <c r="M12" i="7" s="1"/>
  <c r="L24" i="7"/>
  <c r="O24" i="7" s="1"/>
  <c r="N331" i="7"/>
  <c r="N329" i="7" s="1"/>
  <c r="K425" i="7"/>
  <c r="O439" i="7"/>
  <c r="O455" i="7"/>
  <c r="K474" i="7"/>
  <c r="N43" i="8"/>
  <c r="N41" i="8" s="1"/>
  <c r="K80" i="8"/>
  <c r="O102" i="8"/>
  <c r="L224" i="8"/>
  <c r="L222" i="8" s="1"/>
  <c r="L220" i="8" s="1"/>
  <c r="K396" i="8"/>
  <c r="K401" i="8"/>
  <c r="K466" i="8"/>
  <c r="K593" i="8"/>
  <c r="K620" i="8"/>
  <c r="K635" i="8"/>
  <c r="L224" i="9"/>
  <c r="O224" i="9" s="1"/>
  <c r="O49" i="10"/>
  <c r="N331" i="10"/>
  <c r="N329" i="10" s="1"/>
  <c r="P333" i="10"/>
  <c r="L31" i="11"/>
  <c r="O31" i="11" s="1"/>
  <c r="O598" i="11"/>
  <c r="P70" i="12"/>
  <c r="M22" i="12"/>
  <c r="M12" i="12" s="1"/>
  <c r="L31" i="12"/>
  <c r="O403" i="12"/>
  <c r="O566" i="12"/>
  <c r="K270" i="7"/>
  <c r="N34" i="7"/>
  <c r="N14" i="7" s="1"/>
  <c r="N142" i="8"/>
  <c r="N140" i="8" s="1"/>
  <c r="K249" i="8"/>
  <c r="K372" i="8"/>
  <c r="K431" i="8"/>
  <c r="P45" i="9"/>
  <c r="K158" i="9"/>
  <c r="L254" i="9"/>
  <c r="L252" i="9" s="1"/>
  <c r="K368" i="9"/>
  <c r="K417" i="9"/>
  <c r="K635" i="9"/>
  <c r="K81" i="10"/>
  <c r="K629" i="10"/>
  <c r="L314" i="13"/>
  <c r="L312" i="13" s="1"/>
  <c r="O566" i="6"/>
  <c r="O74" i="7"/>
  <c r="O102" i="7"/>
  <c r="K422" i="7"/>
  <c r="K429" i="7"/>
  <c r="K591" i="7"/>
  <c r="K629" i="7"/>
  <c r="K113" i="8"/>
  <c r="K158" i="8"/>
  <c r="L254" i="8"/>
  <c r="O254" i="8" s="1"/>
  <c r="K376" i="8"/>
  <c r="K417" i="8"/>
  <c r="N32" i="8"/>
  <c r="N30" i="8" s="1"/>
  <c r="K624" i="8"/>
  <c r="K632" i="8"/>
  <c r="N31" i="9"/>
  <c r="N29" i="9" s="1"/>
  <c r="O438" i="11"/>
  <c r="L33" i="11"/>
  <c r="O33" i="11" s="1"/>
  <c r="K401" i="7"/>
  <c r="K533" i="7"/>
  <c r="O535" i="7"/>
  <c r="O564" i="7"/>
  <c r="K624" i="7"/>
  <c r="K93" i="8"/>
  <c r="K235" i="8"/>
  <c r="N292" i="8"/>
  <c r="N290" i="8" s="1"/>
  <c r="K402" i="8"/>
  <c r="K418" i="8"/>
  <c r="K432" i="8"/>
  <c r="K547" i="8"/>
  <c r="O582" i="8"/>
  <c r="K615" i="8"/>
  <c r="N55" i="9"/>
  <c r="N53" i="9" s="1"/>
  <c r="P144" i="9"/>
  <c r="K235" i="9"/>
  <c r="K375" i="9"/>
  <c r="O435" i="9"/>
  <c r="K455" i="9"/>
  <c r="K620" i="9"/>
  <c r="L57" i="7"/>
  <c r="L55" i="7" s="1"/>
  <c r="K93" i="7"/>
  <c r="K229" i="7"/>
  <c r="L314" i="7"/>
  <c r="L312" i="7" s="1"/>
  <c r="O312" i="7" s="1"/>
  <c r="K397" i="7"/>
  <c r="K416" i="7"/>
  <c r="K466" i="7"/>
  <c r="K482" i="7"/>
  <c r="K498" i="7"/>
  <c r="N33" i="7"/>
  <c r="N13" i="7" s="1"/>
  <c r="K595" i="7"/>
  <c r="K621" i="7"/>
  <c r="K88" i="8"/>
  <c r="L98" i="8"/>
  <c r="L96" i="8" s="1"/>
  <c r="L94" i="8" s="1"/>
  <c r="P144" i="8"/>
  <c r="K201" i="8"/>
  <c r="K328" i="8"/>
  <c r="I367" i="8"/>
  <c r="K367" i="8" s="1"/>
  <c r="K498" i="8"/>
  <c r="K533" i="8"/>
  <c r="O597" i="8"/>
  <c r="N120" i="9"/>
  <c r="N118" i="9" s="1"/>
  <c r="O406" i="9"/>
  <c r="O439" i="9"/>
  <c r="K482" i="9"/>
  <c r="K589" i="9"/>
  <c r="K618" i="9"/>
  <c r="K615" i="10"/>
  <c r="K616" i="10"/>
  <c r="K564" i="11"/>
  <c r="K421" i="12"/>
  <c r="L24" i="10"/>
  <c r="O24" i="10" s="1"/>
  <c r="P45" i="11"/>
  <c r="K328" i="11"/>
  <c r="K350" i="11"/>
  <c r="I367" i="11"/>
  <c r="K367" i="11" s="1"/>
  <c r="K381" i="11"/>
  <c r="O401" i="11"/>
  <c r="K420" i="11"/>
  <c r="K431" i="11"/>
  <c r="K499" i="11"/>
  <c r="N68" i="12"/>
  <c r="N66" i="12" s="1"/>
  <c r="K200" i="12"/>
  <c r="P224" i="12"/>
  <c r="K264" i="12"/>
  <c r="N312" i="12"/>
  <c r="N310" i="12" s="1"/>
  <c r="K368" i="12"/>
  <c r="N33" i="12"/>
  <c r="N13" i="12" s="1"/>
  <c r="K473" i="12"/>
  <c r="K499" i="12"/>
  <c r="K623" i="12"/>
  <c r="L26" i="13"/>
  <c r="L16" i="13" s="1"/>
  <c r="O49" i="13"/>
  <c r="O347" i="13"/>
  <c r="O582" i="13"/>
  <c r="L98" i="15"/>
  <c r="K173" i="10"/>
  <c r="K417" i="10"/>
  <c r="K420" i="10"/>
  <c r="O455" i="10"/>
  <c r="K464" i="10"/>
  <c r="K547" i="10"/>
  <c r="K398" i="11"/>
  <c r="O535" i="11"/>
  <c r="O564" i="11"/>
  <c r="O580" i="11"/>
  <c r="K614" i="11"/>
  <c r="K630" i="11"/>
  <c r="L70" i="12"/>
  <c r="O70" i="12" s="1"/>
  <c r="K109" i="12"/>
  <c r="K149" i="12"/>
  <c r="L224" i="12"/>
  <c r="O224" i="12" s="1"/>
  <c r="K401" i="12"/>
  <c r="O455" i="12"/>
  <c r="K464" i="12"/>
  <c r="N32" i="12"/>
  <c r="N30" i="12" s="1"/>
  <c r="K612" i="12"/>
  <c r="N331" i="13"/>
  <c r="N329" i="13" s="1"/>
  <c r="N31" i="13"/>
  <c r="N29" i="13" s="1"/>
  <c r="M292" i="10"/>
  <c r="P292" i="10" s="1"/>
  <c r="N55" i="11"/>
  <c r="N53" i="11" s="1"/>
  <c r="K132" i="11"/>
  <c r="N222" i="11"/>
  <c r="P222" i="11" s="1"/>
  <c r="K270" i="11"/>
  <c r="N273" i="11"/>
  <c r="N271" i="11" s="1"/>
  <c r="P294" i="11"/>
  <c r="O347" i="11"/>
  <c r="O455" i="11"/>
  <c r="K618" i="11"/>
  <c r="K345" i="12"/>
  <c r="O380" i="12"/>
  <c r="O564" i="12"/>
  <c r="K573" i="12"/>
  <c r="L32" i="13"/>
  <c r="L30" i="13" s="1"/>
  <c r="O352" i="13"/>
  <c r="K341" i="10"/>
  <c r="O459" i="10"/>
  <c r="K560" i="10"/>
  <c r="O597" i="10"/>
  <c r="K626" i="10"/>
  <c r="K176" i="11"/>
  <c r="L224" i="11"/>
  <c r="O224" i="11" s="1"/>
  <c r="K266" i="11"/>
  <c r="K285" i="11"/>
  <c r="K368" i="11"/>
  <c r="K375" i="11"/>
  <c r="K418" i="11"/>
  <c r="K432" i="11"/>
  <c r="K465" i="11"/>
  <c r="K481" i="11"/>
  <c r="K497" i="11"/>
  <c r="K597" i="11"/>
  <c r="L57" i="12"/>
  <c r="O57" i="12" s="1"/>
  <c r="K397" i="12"/>
  <c r="O401" i="12"/>
  <c r="K423" i="12"/>
  <c r="O437" i="12"/>
  <c r="K465" i="12"/>
  <c r="K481" i="12"/>
  <c r="K497" i="12"/>
  <c r="K533" i="12"/>
  <c r="K617" i="12"/>
  <c r="L57" i="13"/>
  <c r="O57" i="13" s="1"/>
  <c r="N68" i="13"/>
  <c r="N66" i="13" s="1"/>
  <c r="L24" i="13"/>
  <c r="O24" i="13" s="1"/>
  <c r="K173" i="13"/>
  <c r="N252" i="13"/>
  <c r="N250" i="13" s="1"/>
  <c r="K345" i="13"/>
  <c r="O401" i="15"/>
  <c r="M337" i="10"/>
  <c r="P337" i="10" s="1"/>
  <c r="O383" i="10"/>
  <c r="K396" i="10"/>
  <c r="N252" i="11"/>
  <c r="N250" i="11" s="1"/>
  <c r="L32" i="12"/>
  <c r="L30" i="12" s="1"/>
  <c r="M312" i="13"/>
  <c r="P312" i="13" s="1"/>
  <c r="P314" i="13"/>
  <c r="K371" i="13"/>
  <c r="I367" i="13"/>
  <c r="K367" i="13" s="1"/>
  <c r="P122" i="10"/>
  <c r="K84" i="11"/>
  <c r="K249" i="11"/>
  <c r="K345" i="11"/>
  <c r="K396" i="11"/>
  <c r="K419" i="11"/>
  <c r="K426" i="11"/>
  <c r="O437" i="11"/>
  <c r="K466" i="11"/>
  <c r="K482" i="11"/>
  <c r="K498" i="11"/>
  <c r="O533" i="11"/>
  <c r="K612" i="11"/>
  <c r="K619" i="11"/>
  <c r="K133" i="12"/>
  <c r="K199" i="12"/>
  <c r="O349" i="12"/>
  <c r="K398" i="12"/>
  <c r="K402" i="12"/>
  <c r="K427" i="12"/>
  <c r="K450" i="12"/>
  <c r="O457" i="12"/>
  <c r="K482" i="12"/>
  <c r="K498" i="12"/>
  <c r="K616" i="12"/>
  <c r="K619" i="12"/>
  <c r="K615" i="12"/>
  <c r="K614" i="12"/>
  <c r="K618" i="12"/>
  <c r="M312" i="14"/>
  <c r="P312" i="14" s="1"/>
  <c r="P314" i="14"/>
  <c r="L70" i="15"/>
  <c r="K204" i="15"/>
  <c r="K430" i="15"/>
  <c r="K481" i="15"/>
  <c r="K617" i="15"/>
  <c r="K616" i="15"/>
  <c r="K612" i="15"/>
  <c r="K615" i="15"/>
  <c r="L122" i="10"/>
  <c r="O122" i="10" s="1"/>
  <c r="L275" i="10"/>
  <c r="L273" i="10" s="1"/>
  <c r="N312" i="10"/>
  <c r="N310" i="10" s="1"/>
  <c r="K397" i="10"/>
  <c r="O435" i="10"/>
  <c r="N22" i="11"/>
  <c r="K81" i="11"/>
  <c r="P122" i="11"/>
  <c r="K264" i="11"/>
  <c r="N292" i="11"/>
  <c r="N290" i="11" s="1"/>
  <c r="O349" i="11"/>
  <c r="O380" i="11"/>
  <c r="K423" i="11"/>
  <c r="K430" i="11"/>
  <c r="K435" i="11"/>
  <c r="K450" i="11"/>
  <c r="O457" i="11"/>
  <c r="O601" i="11"/>
  <c r="P45" i="12"/>
  <c r="K117" i="12"/>
  <c r="K173" i="12"/>
  <c r="K219" i="12"/>
  <c r="K267" i="12"/>
  <c r="O385" i="12"/>
  <c r="K418" i="12"/>
  <c r="K455" i="12"/>
  <c r="N26" i="13"/>
  <c r="N16" i="13" s="1"/>
  <c r="K380" i="13"/>
  <c r="K547" i="13"/>
  <c r="O352" i="15"/>
  <c r="K629" i="12"/>
  <c r="K341" i="13"/>
  <c r="O385" i="13"/>
  <c r="K398" i="13"/>
  <c r="K430" i="13"/>
  <c r="O459" i="13"/>
  <c r="K465" i="13"/>
  <c r="K481" i="13"/>
  <c r="K497" i="13"/>
  <c r="K533" i="13"/>
  <c r="O564" i="13"/>
  <c r="K573" i="13"/>
  <c r="K612" i="13"/>
  <c r="K109" i="14"/>
  <c r="P122" i="14"/>
  <c r="K199" i="14"/>
  <c r="K219" i="14"/>
  <c r="P224" i="14"/>
  <c r="L275" i="14"/>
  <c r="O275" i="14" s="1"/>
  <c r="N312" i="14"/>
  <c r="N310" i="14" s="1"/>
  <c r="L333" i="14"/>
  <c r="O333" i="14" s="1"/>
  <c r="K396" i="14"/>
  <c r="K416" i="14"/>
  <c r="K430" i="14"/>
  <c r="K450" i="14"/>
  <c r="K497" i="14"/>
  <c r="O533" i="14"/>
  <c r="O537" i="14"/>
  <c r="O566" i="14"/>
  <c r="K597" i="14"/>
  <c r="O599" i="14"/>
  <c r="K65" i="15"/>
  <c r="N120" i="15"/>
  <c r="P120" i="15" s="1"/>
  <c r="K138" i="15"/>
  <c r="K158" i="15"/>
  <c r="P254" i="15"/>
  <c r="P294" i="15"/>
  <c r="K328" i="15"/>
  <c r="K369" i="15"/>
  <c r="K424" i="15"/>
  <c r="K427" i="15"/>
  <c r="K611" i="15"/>
  <c r="K65" i="16"/>
  <c r="P70" i="16"/>
  <c r="K427" i="13"/>
  <c r="K435" i="13"/>
  <c r="O437" i="13"/>
  <c r="K341" i="14"/>
  <c r="K349" i="14"/>
  <c r="K420" i="14"/>
  <c r="K435" i="14"/>
  <c r="O582" i="14"/>
  <c r="K616" i="14"/>
  <c r="K628" i="14"/>
  <c r="L45" i="15"/>
  <c r="L43" i="15" s="1"/>
  <c r="L122" i="15"/>
  <c r="L120" i="15" s="1"/>
  <c r="K132" i="15"/>
  <c r="N142" i="15"/>
  <c r="N140" i="15" s="1"/>
  <c r="L254" i="15"/>
  <c r="O254" i="15" s="1"/>
  <c r="K597" i="15"/>
  <c r="K630" i="15"/>
  <c r="L31" i="13"/>
  <c r="M252" i="14"/>
  <c r="P252" i="14" s="1"/>
  <c r="N312" i="15"/>
  <c r="N310" i="15" s="1"/>
  <c r="K340" i="15"/>
  <c r="N120" i="13"/>
  <c r="N118" i="13" s="1"/>
  <c r="N273" i="13"/>
  <c r="N271" i="13" s="1"/>
  <c r="O533" i="13"/>
  <c r="O601" i="13"/>
  <c r="K623" i="13"/>
  <c r="K110" i="14"/>
  <c r="K200" i="14"/>
  <c r="M337" i="14"/>
  <c r="P337" i="14" s="1"/>
  <c r="N32" i="14"/>
  <c r="N30" i="14" s="1"/>
  <c r="K481" i="14"/>
  <c r="O553" i="14"/>
  <c r="K81" i="15"/>
  <c r="K619" i="15"/>
  <c r="O566" i="17"/>
  <c r="L32" i="17"/>
  <c r="L30" i="17" s="1"/>
  <c r="N142" i="13"/>
  <c r="N140" i="13" s="1"/>
  <c r="N312" i="13"/>
  <c r="N310" i="13" s="1"/>
  <c r="K350" i="13"/>
  <c r="O380" i="13"/>
  <c r="K428" i="13"/>
  <c r="N33" i="13"/>
  <c r="N13" i="13" s="1"/>
  <c r="K473" i="13"/>
  <c r="O584" i="13"/>
  <c r="K593" i="13"/>
  <c r="K613" i="13"/>
  <c r="K635" i="13"/>
  <c r="L23" i="14"/>
  <c r="O23" i="14" s="1"/>
  <c r="N120" i="14"/>
  <c r="N118" i="14" s="1"/>
  <c r="K428" i="14"/>
  <c r="K482" i="14"/>
  <c r="K499" i="14"/>
  <c r="K560" i="14"/>
  <c r="K573" i="14"/>
  <c r="K595" i="14"/>
  <c r="O601" i="14"/>
  <c r="K621" i="14"/>
  <c r="K624" i="14"/>
  <c r="N26" i="15"/>
  <c r="N16" i="15" s="1"/>
  <c r="K82" i="15"/>
  <c r="N96" i="15"/>
  <c r="N94" i="15" s="1"/>
  <c r="K133" i="15"/>
  <c r="L144" i="15"/>
  <c r="L314" i="15"/>
  <c r="O314" i="15" s="1"/>
  <c r="K368" i="15"/>
  <c r="K419" i="15"/>
  <c r="K564" i="15"/>
  <c r="K623" i="15"/>
  <c r="P98" i="16"/>
  <c r="M96" i="16"/>
  <c r="P96" i="16" s="1"/>
  <c r="K624" i="17"/>
  <c r="K620" i="17"/>
  <c r="K625" i="17"/>
  <c r="K622" i="17"/>
  <c r="N43" i="18"/>
  <c r="P43" i="18" s="1"/>
  <c r="N22" i="18"/>
  <c r="P45" i="18"/>
  <c r="K422" i="13"/>
  <c r="N32" i="13"/>
  <c r="N30" i="13" s="1"/>
  <c r="K270" i="14"/>
  <c r="K343" i="14"/>
  <c r="K350" i="14"/>
  <c r="K533" i="14"/>
  <c r="O580" i="14"/>
  <c r="K589" i="14"/>
  <c r="K615" i="14"/>
  <c r="K630" i="14"/>
  <c r="K213" i="15"/>
  <c r="P337" i="15"/>
  <c r="K381" i="15"/>
  <c r="L24" i="16"/>
  <c r="O24" i="16" s="1"/>
  <c r="K474" i="13"/>
  <c r="K597" i="13"/>
  <c r="O599" i="13"/>
  <c r="K108" i="14"/>
  <c r="K328" i="14"/>
  <c r="K368" i="14"/>
  <c r="K375" i="14"/>
  <c r="K381" i="14"/>
  <c r="L34" i="14"/>
  <c r="K402" i="14"/>
  <c r="O406" i="14"/>
  <c r="K418" i="14"/>
  <c r="O555" i="14"/>
  <c r="M22" i="15"/>
  <c r="M12" i="15" s="1"/>
  <c r="K64" i="15"/>
  <c r="K270" i="15"/>
  <c r="K372" i="15"/>
  <c r="K420" i="15"/>
  <c r="K423" i="15"/>
  <c r="O535" i="15"/>
  <c r="M142" i="16"/>
  <c r="M140" i="16" s="1"/>
  <c r="P144" i="16"/>
  <c r="K614" i="18"/>
  <c r="K616" i="16"/>
  <c r="O49" i="17"/>
  <c r="P98" i="17"/>
  <c r="O349" i="17"/>
  <c r="K397" i="17"/>
  <c r="K422" i="17"/>
  <c r="K429" i="17"/>
  <c r="K432" i="17"/>
  <c r="K615" i="17"/>
  <c r="M96" i="18"/>
  <c r="M273" i="18"/>
  <c r="K117" i="16"/>
  <c r="P122" i="16"/>
  <c r="K164" i="16"/>
  <c r="K189" i="16"/>
  <c r="L254" i="16"/>
  <c r="O406" i="16"/>
  <c r="K422" i="16"/>
  <c r="K589" i="16"/>
  <c r="K632" i="16"/>
  <c r="N96" i="17"/>
  <c r="N94" i="17" s="1"/>
  <c r="K110" i="17"/>
  <c r="L144" i="17"/>
  <c r="L224" i="17"/>
  <c r="P254" i="17"/>
  <c r="N292" i="17"/>
  <c r="N290" i="17" s="1"/>
  <c r="K328" i="17"/>
  <c r="N331" i="17"/>
  <c r="N329" i="17" s="1"/>
  <c r="K343" i="17"/>
  <c r="O404" i="17"/>
  <c r="K416" i="17"/>
  <c r="O455" i="17"/>
  <c r="K499" i="17"/>
  <c r="O537" i="17"/>
  <c r="K612" i="17"/>
  <c r="K630" i="17"/>
  <c r="M22" i="18"/>
  <c r="M12" i="18" s="1"/>
  <c r="K113" i="18"/>
  <c r="L224" i="18"/>
  <c r="O224" i="18" s="1"/>
  <c r="M252" i="18"/>
  <c r="M250" i="18" s="1"/>
  <c r="K306" i="18"/>
  <c r="K401" i="18"/>
  <c r="K422" i="18"/>
  <c r="K432" i="18"/>
  <c r="K617" i="18"/>
  <c r="K629" i="18"/>
  <c r="N32" i="16"/>
  <c r="N30" i="16" s="1"/>
  <c r="K419" i="16"/>
  <c r="K533" i="16"/>
  <c r="K614" i="16"/>
  <c r="M120" i="17"/>
  <c r="M118" i="17" s="1"/>
  <c r="K616" i="17"/>
  <c r="K265" i="18"/>
  <c r="N312" i="18"/>
  <c r="N310" i="18" s="1"/>
  <c r="K416" i="18"/>
  <c r="K340" i="16"/>
  <c r="K450" i="16"/>
  <c r="O537" i="16"/>
  <c r="K630" i="16"/>
  <c r="P102" i="17"/>
  <c r="K158" i="17"/>
  <c r="K264" i="17"/>
  <c r="K368" i="17"/>
  <c r="K424" i="17"/>
  <c r="K628" i="17"/>
  <c r="K634" i="17"/>
  <c r="P57" i="18"/>
  <c r="P70" i="18"/>
  <c r="K111" i="18"/>
  <c r="K249" i="18"/>
  <c r="K270" i="18"/>
  <c r="K341" i="18"/>
  <c r="K417" i="18"/>
  <c r="K427" i="18"/>
  <c r="K430" i="18"/>
  <c r="K435" i="18"/>
  <c r="N32" i="18"/>
  <c r="N30" i="18" s="1"/>
  <c r="K597" i="18"/>
  <c r="K634" i="18"/>
  <c r="P314" i="16"/>
  <c r="N33" i="16"/>
  <c r="N13" i="16" s="1"/>
  <c r="K617" i="17"/>
  <c r="N31" i="18"/>
  <c r="N11" i="18" s="1"/>
  <c r="N9" i="18" s="1"/>
  <c r="N34" i="18"/>
  <c r="N14" i="18" s="1"/>
  <c r="N273" i="16"/>
  <c r="N271" i="16" s="1"/>
  <c r="O354" i="16"/>
  <c r="O385" i="16"/>
  <c r="K451" i="16"/>
  <c r="K547" i="16"/>
  <c r="K564" i="16"/>
  <c r="O582" i="16"/>
  <c r="K591" i="16"/>
  <c r="N68" i="17"/>
  <c r="N66" i="17" s="1"/>
  <c r="N120" i="17"/>
  <c r="K149" i="17"/>
  <c r="K176" i="17"/>
  <c r="K200" i="17"/>
  <c r="P224" i="17"/>
  <c r="L294" i="17"/>
  <c r="O294" i="17" s="1"/>
  <c r="O383" i="17"/>
  <c r="K396" i="17"/>
  <c r="K425" i="17"/>
  <c r="K428" i="17"/>
  <c r="K450" i="17"/>
  <c r="K597" i="17"/>
  <c r="K614" i="17"/>
  <c r="K632" i="17"/>
  <c r="K83" i="18"/>
  <c r="K158" i="18"/>
  <c r="K229" i="18"/>
  <c r="P314" i="18"/>
  <c r="K328" i="18"/>
  <c r="K380" i="18"/>
  <c r="K402" i="18"/>
  <c r="K424" i="18"/>
  <c r="K431" i="18"/>
  <c r="K450" i="18"/>
  <c r="K573" i="18"/>
  <c r="K631" i="18"/>
  <c r="K635" i="18"/>
  <c r="L144" i="16"/>
  <c r="O144" i="16" s="1"/>
  <c r="N331" i="16"/>
  <c r="N329" i="16" s="1"/>
  <c r="K372" i="16"/>
  <c r="K380" i="16"/>
  <c r="N31" i="16"/>
  <c r="N32" i="17"/>
  <c r="N30" i="17" s="1"/>
  <c r="K618" i="17"/>
  <c r="O102" i="18"/>
  <c r="N33" i="18"/>
  <c r="N13" i="18" s="1"/>
  <c r="O42" i="1"/>
  <c r="O25" i="1"/>
  <c r="L15" i="1"/>
  <c r="O15" i="1" s="1"/>
  <c r="N19" i="1"/>
  <c r="M19" i="1"/>
  <c r="P21" i="1"/>
  <c r="M11" i="1"/>
  <c r="L21" i="1"/>
  <c r="M30" i="1"/>
  <c r="P30" i="1" s="1"/>
  <c r="I92" i="1"/>
  <c r="I185" i="1"/>
  <c r="K341" i="2"/>
  <c r="I341" i="1"/>
  <c r="J381" i="1"/>
  <c r="K381" i="2"/>
  <c r="K450" i="2"/>
  <c r="I450" i="1"/>
  <c r="K501" i="2"/>
  <c r="I501" i="1"/>
  <c r="K501" i="1" s="1"/>
  <c r="P19" i="3"/>
  <c r="K381" i="3"/>
  <c r="K482" i="3"/>
  <c r="K634" i="3"/>
  <c r="O42" i="3"/>
  <c r="O565" i="4"/>
  <c r="L31" i="4"/>
  <c r="L11" i="4" s="1"/>
  <c r="I344" i="1"/>
  <c r="K344" i="1" s="1"/>
  <c r="M140" i="2"/>
  <c r="N331" i="2"/>
  <c r="N26" i="2"/>
  <c r="N16" i="2" s="1"/>
  <c r="N354" i="1"/>
  <c r="N34" i="2"/>
  <c r="N14" i="2" s="1"/>
  <c r="J402" i="1"/>
  <c r="K402" i="2"/>
  <c r="K477" i="2"/>
  <c r="I477" i="1"/>
  <c r="K477" i="1" s="1"/>
  <c r="J550" i="1"/>
  <c r="O564" i="2"/>
  <c r="L564" i="1"/>
  <c r="J617" i="1"/>
  <c r="K617" i="2"/>
  <c r="P9" i="3"/>
  <c r="L45" i="3"/>
  <c r="O354" i="3"/>
  <c r="K402" i="3"/>
  <c r="K466" i="3"/>
  <c r="K621" i="3"/>
  <c r="K626" i="3"/>
  <c r="K623" i="3"/>
  <c r="K620" i="3"/>
  <c r="K625" i="3"/>
  <c r="K624" i="3"/>
  <c r="O272" i="2"/>
  <c r="J466" i="1"/>
  <c r="K466" i="2"/>
  <c r="M220" i="12"/>
  <c r="I270" i="1"/>
  <c r="L272" i="1"/>
  <c r="O272" i="1" s="1"/>
  <c r="M19" i="2"/>
  <c r="P34" i="2"/>
  <c r="M14" i="2"/>
  <c r="P14" i="2" s="1"/>
  <c r="O119" i="2"/>
  <c r="K485" i="2"/>
  <c r="I485" i="1"/>
  <c r="K485" i="1" s="1"/>
  <c r="J498" i="1"/>
  <c r="K498" i="2"/>
  <c r="K509" i="2"/>
  <c r="I509" i="1"/>
  <c r="K509" i="1" s="1"/>
  <c r="L24" i="3"/>
  <c r="P224" i="3"/>
  <c r="M222" i="3"/>
  <c r="M22" i="3"/>
  <c r="N142" i="4"/>
  <c r="L23" i="2"/>
  <c r="L122" i="2"/>
  <c r="P224" i="2"/>
  <c r="M222" i="2"/>
  <c r="M22" i="2"/>
  <c r="O349" i="2"/>
  <c r="L349" i="1"/>
  <c r="J419" i="1"/>
  <c r="K419" i="2"/>
  <c r="J474" i="1"/>
  <c r="K474" i="2"/>
  <c r="L32" i="2"/>
  <c r="O535" i="2"/>
  <c r="L535" i="1"/>
  <c r="J560" i="1"/>
  <c r="K560" i="2"/>
  <c r="J634" i="1"/>
  <c r="K634" i="2"/>
  <c r="O272" i="3"/>
  <c r="K419" i="3"/>
  <c r="K474" i="3"/>
  <c r="L32" i="3"/>
  <c r="O535" i="3"/>
  <c r="O459" i="4"/>
  <c r="N34" i="4"/>
  <c r="N14" i="4" s="1"/>
  <c r="N33" i="2"/>
  <c r="N13" i="2" s="1"/>
  <c r="N438" i="1"/>
  <c r="K596" i="2"/>
  <c r="I596" i="1"/>
  <c r="K596" i="1" s="1"/>
  <c r="M13" i="1"/>
  <c r="P13" i="1" s="1"/>
  <c r="N384" i="1"/>
  <c r="L584" i="1"/>
  <c r="P25" i="2"/>
  <c r="M15" i="2"/>
  <c r="K430" i="2"/>
  <c r="I430" i="1"/>
  <c r="O555" i="2"/>
  <c r="L555" i="1"/>
  <c r="L34" i="2"/>
  <c r="J593" i="1"/>
  <c r="K593" i="2"/>
  <c r="K533" i="3"/>
  <c r="M28" i="1"/>
  <c r="P28" i="1" s="1"/>
  <c r="I112" i="1"/>
  <c r="I267" i="1"/>
  <c r="I420" i="1"/>
  <c r="L26" i="2"/>
  <c r="O298" i="2"/>
  <c r="L314" i="2"/>
  <c r="K370" i="2"/>
  <c r="I370" i="1"/>
  <c r="O384" i="2"/>
  <c r="L33" i="2"/>
  <c r="O33" i="2" s="1"/>
  <c r="L384" i="1"/>
  <c r="J482" i="1"/>
  <c r="K482" i="2"/>
  <c r="K493" i="2"/>
  <c r="I493" i="1"/>
  <c r="K493" i="1" s="1"/>
  <c r="N570" i="1"/>
  <c r="K621" i="2"/>
  <c r="K626" i="2"/>
  <c r="K623" i="2"/>
  <c r="K620" i="2"/>
  <c r="I620" i="1"/>
  <c r="K625" i="2"/>
  <c r="K624" i="2"/>
  <c r="M26" i="3"/>
  <c r="P102" i="3"/>
  <c r="M96" i="3"/>
  <c r="O119" i="3"/>
  <c r="P311" i="3"/>
  <c r="O385" i="4"/>
  <c r="L34" i="4"/>
  <c r="N22" i="5"/>
  <c r="N43" i="5"/>
  <c r="N41" i="5" s="1"/>
  <c r="O221" i="5"/>
  <c r="P330" i="6"/>
  <c r="K422" i="2"/>
  <c r="I422" i="1"/>
  <c r="O580" i="2"/>
  <c r="L580" i="1"/>
  <c r="P102" i="5"/>
  <c r="M26" i="5"/>
  <c r="N96" i="2"/>
  <c r="N22" i="2"/>
  <c r="P311" i="2"/>
  <c r="O405" i="2"/>
  <c r="L405" i="1"/>
  <c r="O405" i="1" s="1"/>
  <c r="J427" i="1"/>
  <c r="K427" i="2"/>
  <c r="K469" i="2"/>
  <c r="I469" i="1"/>
  <c r="K469" i="1" s="1"/>
  <c r="J533" i="1"/>
  <c r="K533" i="2"/>
  <c r="N31" i="2"/>
  <c r="N552" i="1"/>
  <c r="K629" i="2"/>
  <c r="I629" i="1"/>
  <c r="L57" i="3"/>
  <c r="L23" i="3"/>
  <c r="O67" i="3"/>
  <c r="L314" i="3"/>
  <c r="N331" i="3"/>
  <c r="N329" i="3" s="1"/>
  <c r="K427" i="3"/>
  <c r="K498" i="3"/>
  <c r="L34" i="3"/>
  <c r="O555" i="3"/>
  <c r="K622" i="3"/>
  <c r="N26" i="5"/>
  <c r="N16" i="5" s="1"/>
  <c r="O553" i="5"/>
  <c r="L32" i="5"/>
  <c r="M120" i="2"/>
  <c r="M118" i="2" s="1"/>
  <c r="M273" i="2"/>
  <c r="M271" i="2" s="1"/>
  <c r="K616" i="2"/>
  <c r="M43" i="3"/>
  <c r="O102" i="3"/>
  <c r="O49" i="4"/>
  <c r="P221" i="4"/>
  <c r="M220" i="4"/>
  <c r="P330" i="4"/>
  <c r="P314" i="5"/>
  <c r="M312" i="5"/>
  <c r="O353" i="6"/>
  <c r="L33" i="6"/>
  <c r="O33" i="6" s="1"/>
  <c r="P29" i="7"/>
  <c r="K235" i="7"/>
  <c r="K432" i="7"/>
  <c r="O537" i="7"/>
  <c r="L34" i="7"/>
  <c r="P21" i="2"/>
  <c r="M29" i="2"/>
  <c r="M53" i="2"/>
  <c r="I367" i="2"/>
  <c r="K367" i="2" s="1"/>
  <c r="K611" i="2"/>
  <c r="K619" i="2"/>
  <c r="M13" i="3"/>
  <c r="P13" i="3" s="1"/>
  <c r="L19" i="3"/>
  <c r="N68" i="3"/>
  <c r="K64" i="4"/>
  <c r="P144" i="4"/>
  <c r="M142" i="4"/>
  <c r="O291" i="4"/>
  <c r="L333" i="4"/>
  <c r="K423" i="4"/>
  <c r="M22" i="5"/>
  <c r="P45" i="5"/>
  <c r="M43" i="5"/>
  <c r="O102" i="5"/>
  <c r="L26" i="5"/>
  <c r="K397" i="5"/>
  <c r="O439" i="5"/>
  <c r="L34" i="5"/>
  <c r="N55" i="4"/>
  <c r="N53" i="4" s="1"/>
  <c r="P53" i="4" s="1"/>
  <c r="P57" i="4"/>
  <c r="P98" i="4"/>
  <c r="P23" i="5"/>
  <c r="M13" i="5"/>
  <c r="P13" i="5" s="1"/>
  <c r="P275" i="5"/>
  <c r="M273" i="5"/>
  <c r="O19" i="6"/>
  <c r="O568" i="6"/>
  <c r="L34" i="6"/>
  <c r="K343" i="7"/>
  <c r="K612" i="2"/>
  <c r="L26" i="3"/>
  <c r="M290" i="3"/>
  <c r="P290" i="3" s="1"/>
  <c r="K612" i="3"/>
  <c r="N22" i="4"/>
  <c r="P45" i="4"/>
  <c r="N96" i="4"/>
  <c r="N94" i="4" s="1"/>
  <c r="P254" i="4"/>
  <c r="M252" i="4"/>
  <c r="M271" i="4"/>
  <c r="P70" i="5"/>
  <c r="M68" i="5"/>
  <c r="N273" i="5"/>
  <c r="N271" i="5" s="1"/>
  <c r="O382" i="5"/>
  <c r="L31" i="5"/>
  <c r="O19" i="8"/>
  <c r="M43" i="8"/>
  <c r="P45" i="8"/>
  <c r="M22" i="8"/>
  <c r="M331" i="2"/>
  <c r="K615" i="2"/>
  <c r="M331" i="3"/>
  <c r="K615" i="3"/>
  <c r="N252" i="4"/>
  <c r="O553" i="4"/>
  <c r="O19" i="5"/>
  <c r="N68" i="5"/>
  <c r="N66" i="5" s="1"/>
  <c r="K113" i="5"/>
  <c r="P122" i="5"/>
  <c r="M120" i="5"/>
  <c r="K380" i="5"/>
  <c r="O291" i="6"/>
  <c r="K426" i="6"/>
  <c r="O19" i="10"/>
  <c r="K618" i="2"/>
  <c r="M14" i="3"/>
  <c r="P14" i="3" s="1"/>
  <c r="M66" i="3"/>
  <c r="M118" i="3"/>
  <c r="P118" i="3" s="1"/>
  <c r="K618" i="3"/>
  <c r="M14" i="4"/>
  <c r="P14" i="4" s="1"/>
  <c r="P42" i="4"/>
  <c r="L45" i="4"/>
  <c r="P70" i="4"/>
  <c r="N68" i="4"/>
  <c r="N66" i="4" s="1"/>
  <c r="K111" i="4"/>
  <c r="K158" i="4"/>
  <c r="K630" i="4"/>
  <c r="N120" i="5"/>
  <c r="L33" i="5"/>
  <c r="O33" i="5" s="1"/>
  <c r="O567" i="5"/>
  <c r="M19" i="6"/>
  <c r="M11" i="6"/>
  <c r="P21" i="6"/>
  <c r="N142" i="6"/>
  <c r="N140" i="6" s="1"/>
  <c r="P291" i="6"/>
  <c r="O119" i="7"/>
  <c r="P30" i="8"/>
  <c r="M28" i="8"/>
  <c r="P28" i="8" s="1"/>
  <c r="M11" i="4"/>
  <c r="M19" i="4"/>
  <c r="P31" i="4"/>
  <c r="M29" i="4"/>
  <c r="P275" i="4"/>
  <c r="N273" i="4"/>
  <c r="O330" i="4"/>
  <c r="K573" i="4"/>
  <c r="N19" i="5"/>
  <c r="P32" i="5"/>
  <c r="M30" i="5"/>
  <c r="P30" i="5" s="1"/>
  <c r="P57" i="5"/>
  <c r="M55" i="5"/>
  <c r="K401" i="5"/>
  <c r="K425" i="5"/>
  <c r="O380" i="6"/>
  <c r="P224" i="4"/>
  <c r="K617" i="4"/>
  <c r="M15" i="5"/>
  <c r="I367" i="5"/>
  <c r="K367" i="5" s="1"/>
  <c r="K619" i="5"/>
  <c r="P98" i="6"/>
  <c r="O311" i="6"/>
  <c r="K369" i="6"/>
  <c r="I367" i="6"/>
  <c r="K367" i="6" s="1"/>
  <c r="K617" i="6"/>
  <c r="K614" i="6"/>
  <c r="K619" i="6"/>
  <c r="K611" i="6"/>
  <c r="K616" i="6"/>
  <c r="K615" i="6"/>
  <c r="K612" i="6"/>
  <c r="P23" i="7"/>
  <c r="M13" i="7"/>
  <c r="P13" i="7" s="1"/>
  <c r="P32" i="7"/>
  <c r="M30" i="7"/>
  <c r="P30" i="7" s="1"/>
  <c r="P311" i="7"/>
  <c r="M310" i="7"/>
  <c r="P310" i="7" s="1"/>
  <c r="P333" i="7"/>
  <c r="L33" i="7"/>
  <c r="O33" i="7" s="1"/>
  <c r="O438" i="7"/>
  <c r="N26" i="8"/>
  <c r="N16" i="8" s="1"/>
  <c r="M66" i="4"/>
  <c r="K612" i="4"/>
  <c r="K622" i="5"/>
  <c r="N96" i="6"/>
  <c r="N94" i="6" s="1"/>
  <c r="N22" i="6"/>
  <c r="L32" i="6"/>
  <c r="O383" i="6"/>
  <c r="O599" i="6"/>
  <c r="K618" i="6"/>
  <c r="N32" i="7"/>
  <c r="N30" i="7" s="1"/>
  <c r="M74" i="7"/>
  <c r="P102" i="7"/>
  <c r="M96" i="7"/>
  <c r="O141" i="7"/>
  <c r="K396" i="7"/>
  <c r="O435" i="7"/>
  <c r="O49" i="8"/>
  <c r="K613" i="4"/>
  <c r="P19" i="7"/>
  <c r="N22" i="7"/>
  <c r="N43" i="7"/>
  <c r="N41" i="7" s="1"/>
  <c r="P119" i="7"/>
  <c r="O566" i="7"/>
  <c r="L32" i="7"/>
  <c r="L26" i="8"/>
  <c r="O61" i="8"/>
  <c r="P333" i="8"/>
  <c r="M331" i="8"/>
  <c r="O458" i="8"/>
  <c r="L33" i="8"/>
  <c r="O33" i="8" s="1"/>
  <c r="L26" i="4"/>
  <c r="M49" i="4"/>
  <c r="M43" i="4" s="1"/>
  <c r="M337" i="4"/>
  <c r="P337" i="4" s="1"/>
  <c r="K616" i="4"/>
  <c r="P29" i="6"/>
  <c r="M28" i="6"/>
  <c r="P28" i="6" s="1"/>
  <c r="O337" i="6"/>
  <c r="M337" i="6"/>
  <c r="M331" i="6" s="1"/>
  <c r="O25" i="7"/>
  <c r="L15" i="7"/>
  <c r="O15" i="7" s="1"/>
  <c r="L19" i="7"/>
  <c r="P224" i="7"/>
  <c r="M222" i="7"/>
  <c r="O251" i="7"/>
  <c r="O272" i="7"/>
  <c r="P25" i="8"/>
  <c r="M15" i="8"/>
  <c r="P15" i="8" s="1"/>
  <c r="M19" i="8"/>
  <c r="P34" i="8"/>
  <c r="M14" i="8"/>
  <c r="P14" i="8" s="1"/>
  <c r="O42" i="8"/>
  <c r="O552" i="9"/>
  <c r="L31" i="9"/>
  <c r="I367" i="4"/>
  <c r="K367" i="4" s="1"/>
  <c r="K611" i="4"/>
  <c r="K619" i="4"/>
  <c r="M96" i="5"/>
  <c r="M142" i="5"/>
  <c r="M252" i="5"/>
  <c r="K613" i="5"/>
  <c r="K621" i="5"/>
  <c r="P31" i="6"/>
  <c r="L23" i="6"/>
  <c r="L45" i="6"/>
  <c r="L24" i="6"/>
  <c r="K613" i="6"/>
  <c r="P11" i="7"/>
  <c r="M9" i="7"/>
  <c r="P54" i="7"/>
  <c r="O61" i="7"/>
  <c r="L26" i="7"/>
  <c r="O95" i="7"/>
  <c r="P272" i="7"/>
  <c r="O351" i="7"/>
  <c r="L31" i="7"/>
  <c r="N222" i="8"/>
  <c r="N22" i="8"/>
  <c r="M290" i="4"/>
  <c r="P290" i="4" s="1"/>
  <c r="L15" i="5"/>
  <c r="O15" i="5" s="1"/>
  <c r="M28" i="5"/>
  <c r="P28" i="5" s="1"/>
  <c r="M140" i="6"/>
  <c r="K345" i="6"/>
  <c r="K418" i="6"/>
  <c r="N32" i="6"/>
  <c r="N30" i="6" s="1"/>
  <c r="L98" i="7"/>
  <c r="L23" i="7"/>
  <c r="N31" i="7"/>
  <c r="N29" i="7" s="1"/>
  <c r="K424" i="7"/>
  <c r="O597" i="7"/>
  <c r="K631" i="7"/>
  <c r="K189" i="8"/>
  <c r="M41" i="6"/>
  <c r="M66" i="6"/>
  <c r="M118" i="6"/>
  <c r="K618" i="7"/>
  <c r="K626" i="7"/>
  <c r="K112" i="8"/>
  <c r="O141" i="8"/>
  <c r="O318" i="8"/>
  <c r="P337" i="8"/>
  <c r="O537" i="8"/>
  <c r="N19" i="9"/>
  <c r="N222" i="9"/>
  <c r="N220" i="9" s="1"/>
  <c r="N22" i="9"/>
  <c r="P31" i="10"/>
  <c r="M29" i="10"/>
  <c r="M53" i="6"/>
  <c r="K613" i="7"/>
  <c r="P49" i="8"/>
  <c r="L57" i="8"/>
  <c r="P119" i="8"/>
  <c r="M118" i="8"/>
  <c r="N331" i="8"/>
  <c r="N329" i="8" s="1"/>
  <c r="O337" i="8"/>
  <c r="K424" i="8"/>
  <c r="O435" i="8"/>
  <c r="O566" i="8"/>
  <c r="P333" i="9"/>
  <c r="M331" i="9"/>
  <c r="L23" i="10"/>
  <c r="L45" i="10"/>
  <c r="O537" i="10"/>
  <c r="L34" i="10"/>
  <c r="K624" i="6"/>
  <c r="P45" i="7"/>
  <c r="K614" i="7"/>
  <c r="K622" i="7"/>
  <c r="P11" i="8"/>
  <c r="L15" i="8"/>
  <c r="O15" i="8" s="1"/>
  <c r="O19" i="9"/>
  <c r="L23" i="9"/>
  <c r="L45" i="9"/>
  <c r="O141" i="9"/>
  <c r="O251" i="9"/>
  <c r="K617" i="7"/>
  <c r="K625" i="7"/>
  <c r="O67" i="8"/>
  <c r="M68" i="8"/>
  <c r="P70" i="8"/>
  <c r="O95" i="8"/>
  <c r="K266" i="8"/>
  <c r="P119" i="9"/>
  <c r="M118" i="9"/>
  <c r="P118" i="9" s="1"/>
  <c r="P272" i="9"/>
  <c r="M271" i="9"/>
  <c r="P271" i="9" s="1"/>
  <c r="M222" i="6"/>
  <c r="K622" i="6"/>
  <c r="K612" i="7"/>
  <c r="K620" i="7"/>
  <c r="K117" i="8"/>
  <c r="P272" i="8"/>
  <c r="M271" i="8"/>
  <c r="O354" i="8"/>
  <c r="L34" i="8"/>
  <c r="K189" i="9"/>
  <c r="L26" i="9"/>
  <c r="O318" i="9"/>
  <c r="P337" i="9"/>
  <c r="O354" i="9"/>
  <c r="L34" i="9"/>
  <c r="O566" i="9"/>
  <c r="N32" i="9"/>
  <c r="N30" i="9" s="1"/>
  <c r="P19" i="10"/>
  <c r="M55" i="7"/>
  <c r="M250" i="7"/>
  <c r="P250" i="7" s="1"/>
  <c r="L23" i="8"/>
  <c r="M26" i="8"/>
  <c r="P57" i="8"/>
  <c r="M55" i="8"/>
  <c r="L70" i="8"/>
  <c r="O251" i="8"/>
  <c r="P19" i="9"/>
  <c r="P31" i="9"/>
  <c r="M29" i="9"/>
  <c r="N26" i="9"/>
  <c r="N16" i="9" s="1"/>
  <c r="P16" i="9" s="1"/>
  <c r="N331" i="9"/>
  <c r="N329" i="9" s="1"/>
  <c r="O337" i="9"/>
  <c r="O438" i="9"/>
  <c r="L33" i="9"/>
  <c r="O33" i="9" s="1"/>
  <c r="N19" i="10"/>
  <c r="P74" i="10"/>
  <c r="M68" i="10"/>
  <c r="O119" i="10"/>
  <c r="M96" i="8"/>
  <c r="P122" i="8"/>
  <c r="M142" i="8"/>
  <c r="M252" i="8"/>
  <c r="P275" i="8"/>
  <c r="K613" i="8"/>
  <c r="K621" i="8"/>
  <c r="M11" i="9"/>
  <c r="P21" i="9"/>
  <c r="P122" i="9"/>
  <c r="M142" i="9"/>
  <c r="M252" i="9"/>
  <c r="P252" i="9" s="1"/>
  <c r="P275" i="9"/>
  <c r="K613" i="9"/>
  <c r="K621" i="9"/>
  <c r="M11" i="10"/>
  <c r="P21" i="10"/>
  <c r="M53" i="10"/>
  <c r="O74" i="10"/>
  <c r="P19" i="11"/>
  <c r="N96" i="11"/>
  <c r="N94" i="11" s="1"/>
  <c r="N26" i="11"/>
  <c r="K201" i="11"/>
  <c r="L26" i="11"/>
  <c r="O228" i="11"/>
  <c r="L254" i="11"/>
  <c r="L23" i="11"/>
  <c r="N96" i="8"/>
  <c r="N94" i="8" s="1"/>
  <c r="M43" i="9"/>
  <c r="K616" i="9"/>
  <c r="K624" i="9"/>
  <c r="L31" i="10"/>
  <c r="M43" i="10"/>
  <c r="M118" i="10"/>
  <c r="P118" i="10" s="1"/>
  <c r="P120" i="10"/>
  <c r="L314" i="10"/>
  <c r="P70" i="11"/>
  <c r="M68" i="11"/>
  <c r="M222" i="8"/>
  <c r="K614" i="8"/>
  <c r="K622" i="8"/>
  <c r="M222" i="9"/>
  <c r="K622" i="9"/>
  <c r="P224" i="10"/>
  <c r="M222" i="10"/>
  <c r="P311" i="10"/>
  <c r="M310" i="10"/>
  <c r="P310" i="10" s="1"/>
  <c r="K617" i="8"/>
  <c r="K625" i="8"/>
  <c r="M15" i="9"/>
  <c r="P15" i="9" s="1"/>
  <c r="K617" i="9"/>
  <c r="K625" i="9"/>
  <c r="P25" i="11"/>
  <c r="M15" i="11"/>
  <c r="P15" i="11" s="1"/>
  <c r="K158" i="11"/>
  <c r="P98" i="10"/>
  <c r="M96" i="10"/>
  <c r="M271" i="10"/>
  <c r="P34" i="11"/>
  <c r="M14" i="11"/>
  <c r="P14" i="11" s="1"/>
  <c r="P57" i="11"/>
  <c r="M55" i="11"/>
  <c r="M53" i="11" s="1"/>
  <c r="M22" i="11"/>
  <c r="O354" i="11"/>
  <c r="L34" i="11"/>
  <c r="N55" i="12"/>
  <c r="N53" i="12" s="1"/>
  <c r="N22" i="12"/>
  <c r="O272" i="10"/>
  <c r="M9" i="11"/>
  <c r="K199" i="10"/>
  <c r="K595" i="10"/>
  <c r="M118" i="11"/>
  <c r="P144" i="11"/>
  <c r="L275" i="11"/>
  <c r="L24" i="11"/>
  <c r="P314" i="10"/>
  <c r="K618" i="10"/>
  <c r="O251" i="11"/>
  <c r="P254" i="11"/>
  <c r="M252" i="11"/>
  <c r="K613" i="10"/>
  <c r="P272" i="11"/>
  <c r="M271" i="11"/>
  <c r="O19" i="12"/>
  <c r="P31" i="12"/>
  <c r="M29" i="12"/>
  <c r="P57" i="12"/>
  <c r="I367" i="10"/>
  <c r="K367" i="10" s="1"/>
  <c r="K611" i="10"/>
  <c r="K619" i="10"/>
  <c r="M13" i="11"/>
  <c r="P13" i="11" s="1"/>
  <c r="L19" i="11"/>
  <c r="P32" i="11"/>
  <c r="N43" i="11"/>
  <c r="N41" i="11" s="1"/>
  <c r="M94" i="11"/>
  <c r="P94" i="11" s="1"/>
  <c r="M142" i="11"/>
  <c r="P251" i="11"/>
  <c r="O102" i="12"/>
  <c r="L26" i="12"/>
  <c r="M102" i="12"/>
  <c r="M26" i="12" s="1"/>
  <c r="P312" i="12"/>
  <c r="M310" i="12"/>
  <c r="P310" i="12" s="1"/>
  <c r="K614" i="10"/>
  <c r="K622" i="10"/>
  <c r="P11" i="11"/>
  <c r="L15" i="11"/>
  <c r="O15" i="11" s="1"/>
  <c r="M28" i="11"/>
  <c r="P28" i="11" s="1"/>
  <c r="M220" i="11"/>
  <c r="K617" i="10"/>
  <c r="K625" i="10"/>
  <c r="K265" i="11"/>
  <c r="P337" i="11"/>
  <c r="O337" i="11"/>
  <c r="P74" i="12"/>
  <c r="M68" i="12"/>
  <c r="M66" i="12" s="1"/>
  <c r="K612" i="10"/>
  <c r="N19" i="12"/>
  <c r="M290" i="11"/>
  <c r="P290" i="11" s="1"/>
  <c r="P292" i="11"/>
  <c r="P333" i="11"/>
  <c r="M331" i="11"/>
  <c r="L23" i="12"/>
  <c r="L45" i="12"/>
  <c r="K613" i="11"/>
  <c r="K621" i="11"/>
  <c r="M11" i="12"/>
  <c r="L34" i="12"/>
  <c r="P275" i="12"/>
  <c r="N331" i="12"/>
  <c r="N329" i="12" s="1"/>
  <c r="L333" i="12"/>
  <c r="M13" i="13"/>
  <c r="P13" i="13" s="1"/>
  <c r="N22" i="13"/>
  <c r="L45" i="13"/>
  <c r="K285" i="13"/>
  <c r="P29" i="14"/>
  <c r="M28" i="14"/>
  <c r="P28" i="14" s="1"/>
  <c r="M118" i="14"/>
  <c r="P118" i="14" s="1"/>
  <c r="P120" i="14"/>
  <c r="L26" i="15"/>
  <c r="O102" i="15"/>
  <c r="K616" i="11"/>
  <c r="K624" i="11"/>
  <c r="M43" i="12"/>
  <c r="N273" i="12"/>
  <c r="K597" i="12"/>
  <c r="L23" i="13"/>
  <c r="M29" i="13"/>
  <c r="P31" i="13"/>
  <c r="P122" i="13"/>
  <c r="L144" i="13"/>
  <c r="P224" i="13"/>
  <c r="N222" i="13"/>
  <c r="P222" i="13" s="1"/>
  <c r="O251" i="13"/>
  <c r="P254" i="13"/>
  <c r="M252" i="13"/>
  <c r="P252" i="13" s="1"/>
  <c r="O330" i="13"/>
  <c r="P333" i="13"/>
  <c r="M331" i="13"/>
  <c r="M66" i="14"/>
  <c r="P66" i="14" s="1"/>
  <c r="P68" i="14"/>
  <c r="O102" i="14"/>
  <c r="M102" i="14"/>
  <c r="O330" i="12"/>
  <c r="P119" i="13"/>
  <c r="M118" i="13"/>
  <c r="P221" i="13"/>
  <c r="M220" i="13"/>
  <c r="N55" i="14"/>
  <c r="P55" i="14" s="1"/>
  <c r="N26" i="14"/>
  <c r="N16" i="14" s="1"/>
  <c r="P333" i="14"/>
  <c r="N331" i="14"/>
  <c r="N329" i="14" s="1"/>
  <c r="N22" i="14"/>
  <c r="O95" i="18"/>
  <c r="K622" i="11"/>
  <c r="N34" i="13"/>
  <c r="N14" i="13" s="1"/>
  <c r="L26" i="14"/>
  <c r="P251" i="14"/>
  <c r="K625" i="11"/>
  <c r="M55" i="12"/>
  <c r="M140" i="12"/>
  <c r="M250" i="12"/>
  <c r="K328" i="12"/>
  <c r="O352" i="12"/>
  <c r="K431" i="12"/>
  <c r="K132" i="13"/>
  <c r="K158" i="13"/>
  <c r="P251" i="13"/>
  <c r="P294" i="13"/>
  <c r="P330" i="13"/>
  <c r="K620" i="11"/>
  <c r="M120" i="12"/>
  <c r="P314" i="12"/>
  <c r="P330" i="12"/>
  <c r="P337" i="12"/>
  <c r="K350" i="12"/>
  <c r="K422" i="12"/>
  <c r="K630" i="12"/>
  <c r="O19" i="13"/>
  <c r="N19" i="13"/>
  <c r="P275" i="13"/>
  <c r="K328" i="13"/>
  <c r="P337" i="13"/>
  <c r="L34" i="13"/>
  <c r="O354" i="13"/>
  <c r="K381" i="13"/>
  <c r="P311" i="14"/>
  <c r="O314" i="14"/>
  <c r="O351" i="15"/>
  <c r="L31" i="15"/>
  <c r="O354" i="15"/>
  <c r="L34" i="15"/>
  <c r="K623" i="11"/>
  <c r="M292" i="12"/>
  <c r="I367" i="12"/>
  <c r="K367" i="12" s="1"/>
  <c r="P45" i="13"/>
  <c r="M43" i="13"/>
  <c r="P272" i="13"/>
  <c r="M271" i="13"/>
  <c r="N19" i="14"/>
  <c r="M220" i="14"/>
  <c r="L24" i="14"/>
  <c r="L224" i="14"/>
  <c r="N26" i="12"/>
  <c r="N16" i="12" s="1"/>
  <c r="N96" i="12"/>
  <c r="N94" i="12" s="1"/>
  <c r="N142" i="12"/>
  <c r="N140" i="12" s="1"/>
  <c r="N252" i="12"/>
  <c r="P252" i="12" s="1"/>
  <c r="K624" i="12"/>
  <c r="K621" i="12"/>
  <c r="K620" i="12"/>
  <c r="K625" i="12"/>
  <c r="K626" i="12"/>
  <c r="K634" i="12"/>
  <c r="M22" i="13"/>
  <c r="M16" i="13"/>
  <c r="O141" i="13"/>
  <c r="P144" i="13"/>
  <c r="M142" i="13"/>
  <c r="K229" i="13"/>
  <c r="M290" i="13"/>
  <c r="P290" i="13" s="1"/>
  <c r="M22" i="14"/>
  <c r="P45" i="14"/>
  <c r="M43" i="14"/>
  <c r="O552" i="13"/>
  <c r="K625" i="13"/>
  <c r="O272" i="14"/>
  <c r="O351" i="14"/>
  <c r="P122" i="15"/>
  <c r="K620" i="13"/>
  <c r="P31" i="14"/>
  <c r="P221" i="14"/>
  <c r="K369" i="14"/>
  <c r="I367" i="14"/>
  <c r="K367" i="14" s="1"/>
  <c r="O385" i="14"/>
  <c r="K421" i="14"/>
  <c r="M26" i="15"/>
  <c r="P252" i="15"/>
  <c r="M250" i="15"/>
  <c r="P250" i="15" s="1"/>
  <c r="P275" i="15"/>
  <c r="P67" i="16"/>
  <c r="K626" i="13"/>
  <c r="N55" i="15"/>
  <c r="N53" i="15" s="1"/>
  <c r="P53" i="15" s="1"/>
  <c r="N22" i="15"/>
  <c r="P57" i="15"/>
  <c r="P70" i="15"/>
  <c r="N68" i="15"/>
  <c r="N66" i="15" s="1"/>
  <c r="P141" i="15"/>
  <c r="P272" i="16"/>
  <c r="M271" i="16"/>
  <c r="K613" i="12"/>
  <c r="M11" i="13"/>
  <c r="M94" i="13"/>
  <c r="P94" i="13" s="1"/>
  <c r="K621" i="13"/>
  <c r="M11" i="14"/>
  <c r="M53" i="14"/>
  <c r="K429" i="14"/>
  <c r="K564" i="14"/>
  <c r="L23" i="15"/>
  <c r="L32" i="15"/>
  <c r="O272" i="15"/>
  <c r="O19" i="16"/>
  <c r="K624" i="13"/>
  <c r="P294" i="14"/>
  <c r="O347" i="14"/>
  <c r="K612" i="14"/>
  <c r="K617" i="14"/>
  <c r="K614" i="14"/>
  <c r="K619" i="14"/>
  <c r="K611" i="14"/>
  <c r="K618" i="14"/>
  <c r="P29" i="15"/>
  <c r="M28" i="15"/>
  <c r="P28" i="15" s="1"/>
  <c r="P34" i="15"/>
  <c r="M14" i="15"/>
  <c r="P14" i="15" s="1"/>
  <c r="M43" i="15"/>
  <c r="P98" i="15"/>
  <c r="M96" i="15"/>
  <c r="P224" i="15"/>
  <c r="M222" i="15"/>
  <c r="K229" i="14"/>
  <c r="L294" i="14"/>
  <c r="O404" i="14"/>
  <c r="K449" i="14"/>
  <c r="O25" i="15"/>
  <c r="L15" i="15"/>
  <c r="O15" i="15" s="1"/>
  <c r="L19" i="15"/>
  <c r="O119" i="15"/>
  <c r="P25" i="15"/>
  <c r="M15" i="15"/>
  <c r="M19" i="15"/>
  <c r="M66" i="15"/>
  <c r="O438" i="15"/>
  <c r="L33" i="15"/>
  <c r="O33" i="15" s="1"/>
  <c r="K626" i="14"/>
  <c r="P144" i="15"/>
  <c r="O251" i="15"/>
  <c r="O347" i="15"/>
  <c r="M43" i="16"/>
  <c r="P45" i="16"/>
  <c r="L275" i="16"/>
  <c r="L23" i="16"/>
  <c r="O383" i="16"/>
  <c r="P330" i="17"/>
  <c r="P19" i="18"/>
  <c r="L224" i="15"/>
  <c r="P272" i="15"/>
  <c r="L275" i="15"/>
  <c r="N331" i="15"/>
  <c r="N329" i="15" s="1"/>
  <c r="O337" i="15"/>
  <c r="K375" i="15"/>
  <c r="K416" i="15"/>
  <c r="K432" i="15"/>
  <c r="O455" i="15"/>
  <c r="K622" i="14"/>
  <c r="M68" i="16"/>
  <c r="P74" i="16"/>
  <c r="K625" i="14"/>
  <c r="K173" i="15"/>
  <c r="P311" i="15"/>
  <c r="P333" i="15"/>
  <c r="M331" i="15"/>
  <c r="M26" i="16"/>
  <c r="O567" i="16"/>
  <c r="L33" i="16"/>
  <c r="O33" i="16" s="1"/>
  <c r="N43" i="17"/>
  <c r="N41" i="17" s="1"/>
  <c r="M118" i="15"/>
  <c r="K189" i="15"/>
  <c r="K219" i="15"/>
  <c r="K235" i="15"/>
  <c r="K343" i="15"/>
  <c r="K631" i="15"/>
  <c r="N19" i="16"/>
  <c r="O49" i="16"/>
  <c r="N26" i="16"/>
  <c r="N16" i="16" s="1"/>
  <c r="N43" i="16"/>
  <c r="N41" i="16" s="1"/>
  <c r="N55" i="16"/>
  <c r="N22" i="16"/>
  <c r="O228" i="16"/>
  <c r="L26" i="16"/>
  <c r="O535" i="16"/>
  <c r="L32" i="16"/>
  <c r="M273" i="15"/>
  <c r="K618" i="15"/>
  <c r="K626" i="15"/>
  <c r="L122" i="16"/>
  <c r="P23" i="17"/>
  <c r="M13" i="17"/>
  <c r="P13" i="17" s="1"/>
  <c r="K613" i="15"/>
  <c r="K621" i="15"/>
  <c r="L45" i="16"/>
  <c r="P57" i="16"/>
  <c r="M55" i="16"/>
  <c r="K64" i="16"/>
  <c r="O272" i="16"/>
  <c r="K328" i="16"/>
  <c r="K341" i="16"/>
  <c r="K370" i="16"/>
  <c r="K421" i="16"/>
  <c r="K629" i="16"/>
  <c r="P49" i="17"/>
  <c r="L98" i="17"/>
  <c r="P119" i="17"/>
  <c r="M290" i="15"/>
  <c r="P290" i="15" s="1"/>
  <c r="K622" i="15"/>
  <c r="O141" i="16"/>
  <c r="P311" i="16"/>
  <c r="M310" i="16"/>
  <c r="P310" i="16" s="1"/>
  <c r="P95" i="17"/>
  <c r="O49" i="18"/>
  <c r="L26" i="18"/>
  <c r="K625" i="15"/>
  <c r="N68" i="16"/>
  <c r="N66" i="16" s="1"/>
  <c r="L314" i="16"/>
  <c r="P333" i="16"/>
  <c r="M331" i="16"/>
  <c r="O404" i="16"/>
  <c r="K429" i="16"/>
  <c r="O61" i="17"/>
  <c r="L26" i="17"/>
  <c r="P333" i="17"/>
  <c r="M331" i="17"/>
  <c r="M22" i="17"/>
  <c r="N96" i="16"/>
  <c r="N94" i="16" s="1"/>
  <c r="O119" i="16"/>
  <c r="P224" i="16"/>
  <c r="M222" i="16"/>
  <c r="O251" i="16"/>
  <c r="K270" i="16"/>
  <c r="O349" i="16"/>
  <c r="O580" i="16"/>
  <c r="K595" i="16"/>
  <c r="K621" i="16"/>
  <c r="K626" i="16"/>
  <c r="K623" i="16"/>
  <c r="K620" i="16"/>
  <c r="K635" i="16"/>
  <c r="N22" i="17"/>
  <c r="P54" i="17"/>
  <c r="O251" i="17"/>
  <c r="P119" i="16"/>
  <c r="M118" i="16"/>
  <c r="K628" i="16"/>
  <c r="L23" i="17"/>
  <c r="L24" i="17"/>
  <c r="L122" i="17"/>
  <c r="K132" i="17"/>
  <c r="L333" i="17"/>
  <c r="I367" i="16"/>
  <c r="K367" i="16" s="1"/>
  <c r="K611" i="16"/>
  <c r="K619" i="16"/>
  <c r="M29" i="17"/>
  <c r="P31" i="17"/>
  <c r="L57" i="17"/>
  <c r="O95" i="17"/>
  <c r="O291" i="17"/>
  <c r="K340" i="17"/>
  <c r="K419" i="18"/>
  <c r="O384" i="18"/>
  <c r="L33" i="18"/>
  <c r="O33" i="18" s="1"/>
  <c r="M290" i="16"/>
  <c r="P290" i="16" s="1"/>
  <c r="K612" i="16"/>
  <c r="P21" i="17"/>
  <c r="M11" i="17"/>
  <c r="P67" i="17"/>
  <c r="L70" i="17"/>
  <c r="O141" i="17"/>
  <c r="P251" i="17"/>
  <c r="L254" i="17"/>
  <c r="N33" i="17"/>
  <c r="N13" i="17" s="1"/>
  <c r="L24" i="18"/>
  <c r="P337" i="18"/>
  <c r="L34" i="18"/>
  <c r="O354" i="18"/>
  <c r="K615" i="16"/>
  <c r="N19" i="17"/>
  <c r="P45" i="17"/>
  <c r="M43" i="17"/>
  <c r="P141" i="17"/>
  <c r="L31" i="17"/>
  <c r="O351" i="17"/>
  <c r="O439" i="17"/>
  <c r="L34" i="17"/>
  <c r="P29" i="18"/>
  <c r="M28" i="18"/>
  <c r="P28" i="18" s="1"/>
  <c r="K618" i="16"/>
  <c r="K633" i="16"/>
  <c r="P57" i="17"/>
  <c r="K93" i="17"/>
  <c r="P272" i="17"/>
  <c r="L275" i="17"/>
  <c r="P294" i="17"/>
  <c r="M292" i="17"/>
  <c r="K417" i="17"/>
  <c r="K464" i="17"/>
  <c r="P119" i="18"/>
  <c r="O141" i="18"/>
  <c r="L45" i="17"/>
  <c r="O54" i="17"/>
  <c r="K164" i="17"/>
  <c r="K265" i="17"/>
  <c r="O352" i="17"/>
  <c r="K380" i="17"/>
  <c r="K88" i="18"/>
  <c r="K466" i="18"/>
  <c r="K482" i="18"/>
  <c r="K498" i="18"/>
  <c r="M55" i="17"/>
  <c r="M96" i="17"/>
  <c r="M142" i="17"/>
  <c r="M252" i="17"/>
  <c r="I367" i="17"/>
  <c r="K367" i="17" s="1"/>
  <c r="K621" i="17"/>
  <c r="K626" i="17"/>
  <c r="K623" i="17"/>
  <c r="L254" i="18"/>
  <c r="O566" i="18"/>
  <c r="M220" i="17"/>
  <c r="O533" i="17"/>
  <c r="P42" i="18"/>
  <c r="M41" i="18"/>
  <c r="K93" i="18"/>
  <c r="K533" i="18"/>
  <c r="O535" i="18"/>
  <c r="L32" i="18"/>
  <c r="M310" i="17"/>
  <c r="P310" i="17" s="1"/>
  <c r="O21" i="18"/>
  <c r="L19" i="18"/>
  <c r="N26" i="18"/>
  <c r="N16" i="18" s="1"/>
  <c r="P95" i="18"/>
  <c r="P141" i="18"/>
  <c r="M140" i="18"/>
  <c r="L31" i="18"/>
  <c r="L11" i="18" s="1"/>
  <c r="O552" i="18"/>
  <c r="P21" i="18"/>
  <c r="M11" i="18"/>
  <c r="P24" i="18"/>
  <c r="M14" i="18"/>
  <c r="P14" i="18" s="1"/>
  <c r="O54" i="18"/>
  <c r="L57" i="18"/>
  <c r="L98" i="18"/>
  <c r="O251" i="18"/>
  <c r="O294" i="18"/>
  <c r="P333" i="18"/>
  <c r="M331" i="18"/>
  <c r="O553" i="17"/>
  <c r="K564" i="17"/>
  <c r="P54" i="18"/>
  <c r="L70" i="18"/>
  <c r="K80" i="18"/>
  <c r="L144" i="18"/>
  <c r="P251" i="18"/>
  <c r="L275" i="18"/>
  <c r="K285" i="18"/>
  <c r="P294" i="18"/>
  <c r="M292" i="18"/>
  <c r="N331" i="18"/>
  <c r="N329" i="18" s="1"/>
  <c r="K474" i="18"/>
  <c r="K626" i="18"/>
  <c r="K623" i="18"/>
  <c r="K620" i="18"/>
  <c r="K625" i="18"/>
  <c r="K624" i="18"/>
  <c r="K621" i="18"/>
  <c r="P67" i="18"/>
  <c r="M66" i="18"/>
  <c r="M26" i="18"/>
  <c r="P102" i="18"/>
  <c r="P272" i="18"/>
  <c r="N292" i="18"/>
  <c r="K611" i="17"/>
  <c r="K619" i="17"/>
  <c r="M13" i="18"/>
  <c r="P13" i="18" s="1"/>
  <c r="M55" i="18"/>
  <c r="K613" i="18"/>
  <c r="L23" i="18"/>
  <c r="K612" i="18"/>
  <c r="M312" i="18"/>
  <c r="N29" i="18" l="1"/>
  <c r="L252" i="13"/>
  <c r="O252" i="13" s="1"/>
  <c r="K65" i="1"/>
  <c r="L312" i="18"/>
  <c r="L55" i="14"/>
  <c r="O55" i="14" s="1"/>
  <c r="O294" i="13"/>
  <c r="O57" i="11"/>
  <c r="O57" i="6"/>
  <c r="O564" i="1"/>
  <c r="L96" i="13"/>
  <c r="L94" i="13" s="1"/>
  <c r="O94" i="13" s="1"/>
  <c r="O16" i="10"/>
  <c r="O294" i="7"/>
  <c r="N140" i="2"/>
  <c r="P140" i="2" s="1"/>
  <c r="L222" i="9"/>
  <c r="L220" i="9" s="1"/>
  <c r="O220" i="9" s="1"/>
  <c r="M290" i="5"/>
  <c r="P290" i="5" s="1"/>
  <c r="O380" i="1"/>
  <c r="N66" i="18"/>
  <c r="K564" i="1"/>
  <c r="L68" i="5"/>
  <c r="O68" i="5" s="1"/>
  <c r="K422" i="1"/>
  <c r="K249" i="1"/>
  <c r="K498" i="1"/>
  <c r="K270" i="1"/>
  <c r="K82" i="1"/>
  <c r="K340" i="1"/>
  <c r="K110" i="1"/>
  <c r="K424" i="1"/>
  <c r="P68" i="10"/>
  <c r="P271" i="3"/>
  <c r="K215" i="1"/>
  <c r="K219" i="1"/>
  <c r="O533" i="1"/>
  <c r="O254" i="14"/>
  <c r="P273" i="14"/>
  <c r="L120" i="9"/>
  <c r="O120" i="9" s="1"/>
  <c r="K376" i="1"/>
  <c r="K92" i="1"/>
  <c r="K87" i="1"/>
  <c r="K431" i="1"/>
  <c r="K86" i="1"/>
  <c r="L222" i="6"/>
  <c r="L220" i="6" s="1"/>
  <c r="O220" i="6" s="1"/>
  <c r="K112" i="1"/>
  <c r="K430" i="1"/>
  <c r="K185" i="1"/>
  <c r="O70" i="10"/>
  <c r="K426" i="1"/>
  <c r="K551" i="1"/>
  <c r="L312" i="8"/>
  <c r="O312" i="8" s="1"/>
  <c r="K429" i="1"/>
  <c r="K304" i="1"/>
  <c r="L96" i="11"/>
  <c r="O96" i="11" s="1"/>
  <c r="P271" i="8"/>
  <c r="N11" i="17"/>
  <c r="N9" i="17" s="1"/>
  <c r="P220" i="14"/>
  <c r="P273" i="10"/>
  <c r="O122" i="6"/>
  <c r="P310" i="4"/>
  <c r="L250" i="14"/>
  <c r="O250" i="14" s="1"/>
  <c r="M310" i="3"/>
  <c r="P310" i="3" s="1"/>
  <c r="N28" i="17"/>
  <c r="K88" i="1"/>
  <c r="K419" i="1"/>
  <c r="O312" i="4"/>
  <c r="P273" i="7"/>
  <c r="O224" i="16"/>
  <c r="L331" i="16"/>
  <c r="O331" i="16" s="1"/>
  <c r="M331" i="10"/>
  <c r="M329" i="10" s="1"/>
  <c r="P329" i="10" s="1"/>
  <c r="L55" i="10"/>
  <c r="L53" i="10" s="1"/>
  <c r="L252" i="5"/>
  <c r="O252" i="5" s="1"/>
  <c r="O437" i="1"/>
  <c r="K285" i="1"/>
  <c r="L68" i="16"/>
  <c r="O68" i="16" s="1"/>
  <c r="P254" i="1"/>
  <c r="O102" i="1"/>
  <c r="K173" i="1"/>
  <c r="O144" i="8"/>
  <c r="O254" i="3"/>
  <c r="L252" i="6"/>
  <c r="L250" i="6" s="1"/>
  <c r="O250" i="6" s="1"/>
  <c r="K428" i="1"/>
  <c r="K614" i="1"/>
  <c r="L252" i="12"/>
  <c r="L250" i="12" s="1"/>
  <c r="L55" i="13"/>
  <c r="O55" i="13" s="1"/>
  <c r="P331" i="5"/>
  <c r="O314" i="7"/>
  <c r="O275" i="7"/>
  <c r="P292" i="9"/>
  <c r="O26" i="6"/>
  <c r="O142" i="9"/>
  <c r="N43" i="1"/>
  <c r="N41" i="1" s="1"/>
  <c r="K328" i="1"/>
  <c r="I367" i="1"/>
  <c r="K367" i="1" s="1"/>
  <c r="L331" i="3"/>
  <c r="O331" i="3" s="1"/>
  <c r="P273" i="18"/>
  <c r="O98" i="9"/>
  <c r="K632" i="1"/>
  <c r="P252" i="6"/>
  <c r="K633" i="1"/>
  <c r="P273" i="6"/>
  <c r="P312" i="2"/>
  <c r="P122" i="1"/>
  <c r="L68" i="12"/>
  <c r="O68" i="12" s="1"/>
  <c r="L331" i="14"/>
  <c r="O331" i="14" s="1"/>
  <c r="P45" i="1"/>
  <c r="K425" i="1"/>
  <c r="L222" i="10"/>
  <c r="O222" i="10" s="1"/>
  <c r="K402" i="1"/>
  <c r="O385" i="1"/>
  <c r="K435" i="1"/>
  <c r="L96" i="10"/>
  <c r="O96" i="10" s="1"/>
  <c r="K266" i="1"/>
  <c r="P96" i="18"/>
  <c r="O70" i="3"/>
  <c r="K482" i="1"/>
  <c r="K377" i="1"/>
  <c r="P140" i="18"/>
  <c r="L292" i="12"/>
  <c r="L290" i="12" s="1"/>
  <c r="O290" i="12" s="1"/>
  <c r="K368" i="1"/>
  <c r="O597" i="1"/>
  <c r="O55" i="7"/>
  <c r="L331" i="11"/>
  <c r="O331" i="11" s="1"/>
  <c r="N53" i="10"/>
  <c r="P53" i="10" s="1"/>
  <c r="P55" i="7"/>
  <c r="L292" i="10"/>
  <c r="O292" i="10" s="1"/>
  <c r="N11" i="8"/>
  <c r="N9" i="8" s="1"/>
  <c r="K108" i="1"/>
  <c r="O584" i="1"/>
  <c r="N28" i="8"/>
  <c r="N29" i="3"/>
  <c r="N28" i="3" s="1"/>
  <c r="K80" i="1"/>
  <c r="K132" i="1"/>
  <c r="K111" i="1"/>
  <c r="O383" i="1"/>
  <c r="P16" i="17"/>
  <c r="K158" i="1"/>
  <c r="O70" i="14"/>
  <c r="O144" i="7"/>
  <c r="L292" i="2"/>
  <c r="O292" i="2" s="1"/>
  <c r="K81" i="1"/>
  <c r="K372" i="1"/>
  <c r="O314" i="4"/>
  <c r="O98" i="16"/>
  <c r="L94" i="16"/>
  <c r="O94" i="16" s="1"/>
  <c r="P120" i="16"/>
  <c r="M271" i="6"/>
  <c r="P271" i="6" s="1"/>
  <c r="K533" i="1"/>
  <c r="L142" i="12"/>
  <c r="L140" i="12" s="1"/>
  <c r="O140" i="12" s="1"/>
  <c r="P271" i="10"/>
  <c r="L96" i="14"/>
  <c r="L94" i="14" s="1"/>
  <c r="O94" i="14" s="1"/>
  <c r="P312" i="4"/>
  <c r="P98" i="1"/>
  <c r="K186" i="1"/>
  <c r="P26" i="17"/>
  <c r="M271" i="17"/>
  <c r="P271" i="17" s="1"/>
  <c r="L273" i="8"/>
  <c r="O273" i="8" s="1"/>
  <c r="M118" i="7"/>
  <c r="P118" i="7" s="1"/>
  <c r="K473" i="1"/>
  <c r="K451" i="1"/>
  <c r="K396" i="1"/>
  <c r="P22" i="15"/>
  <c r="L331" i="15"/>
  <c r="O331" i="15" s="1"/>
  <c r="O98" i="6"/>
  <c r="N11" i="5"/>
  <c r="N9" i="5" s="1"/>
  <c r="P273" i="8"/>
  <c r="O294" i="5"/>
  <c r="L142" i="10"/>
  <c r="L140" i="10" s="1"/>
  <c r="O140" i="10" s="1"/>
  <c r="K200" i="1"/>
  <c r="M20" i="18"/>
  <c r="M18" i="18" s="1"/>
  <c r="P96" i="17"/>
  <c r="O16" i="6"/>
  <c r="K617" i="1"/>
  <c r="O273" i="7"/>
  <c r="K449" i="1"/>
  <c r="P220" i="18"/>
  <c r="O34" i="12"/>
  <c r="O30" i="10"/>
  <c r="O43" i="15"/>
  <c r="N28" i="10"/>
  <c r="L96" i="5"/>
  <c r="O96" i="5" s="1"/>
  <c r="O222" i="8"/>
  <c r="N12" i="10"/>
  <c r="N10" i="10" s="1"/>
  <c r="P142" i="18"/>
  <c r="L312" i="11"/>
  <c r="L310" i="11" s="1"/>
  <c r="O310" i="11" s="1"/>
  <c r="O32" i="8"/>
  <c r="O32" i="12"/>
  <c r="L43" i="11"/>
  <c r="L41" i="11" s="1"/>
  <c r="O41" i="11" s="1"/>
  <c r="L29" i="6"/>
  <c r="O29" i="6" s="1"/>
  <c r="O30" i="8"/>
  <c r="P55" i="13"/>
  <c r="O31" i="6"/>
  <c r="O275" i="6"/>
  <c r="N11" i="14"/>
  <c r="N9" i="14" s="1"/>
  <c r="P142" i="10"/>
  <c r="L11" i="2"/>
  <c r="L9" i="2" s="1"/>
  <c r="L331" i="2"/>
  <c r="L329" i="2" s="1"/>
  <c r="O45" i="7"/>
  <c r="L29" i="2"/>
  <c r="O29" i="2" s="1"/>
  <c r="N11" i="11"/>
  <c r="N9" i="11" s="1"/>
  <c r="K421" i="1"/>
  <c r="P70" i="1"/>
  <c r="L312" i="17"/>
  <c r="O312" i="17" s="1"/>
  <c r="L55" i="9"/>
  <c r="L53" i="9" s="1"/>
  <c r="O53" i="9" s="1"/>
  <c r="O34" i="17"/>
  <c r="L142" i="3"/>
  <c r="L140" i="3" s="1"/>
  <c r="O140" i="3" s="1"/>
  <c r="O401" i="1"/>
  <c r="P118" i="8"/>
  <c r="L118" i="4"/>
  <c r="O118" i="4" s="1"/>
  <c r="N28" i="14"/>
  <c r="P314" i="1"/>
  <c r="P55" i="18"/>
  <c r="L292" i="9"/>
  <c r="O292" i="9" s="1"/>
  <c r="P120" i="8"/>
  <c r="O457" i="1"/>
  <c r="O120" i="8"/>
  <c r="K416" i="1"/>
  <c r="K109" i="1"/>
  <c r="K380" i="1"/>
  <c r="O74" i="1"/>
  <c r="M271" i="7"/>
  <c r="P271" i="7" s="1"/>
  <c r="P140" i="16"/>
  <c r="L142" i="14"/>
  <c r="L140" i="14" s="1"/>
  <c r="O140" i="14" s="1"/>
  <c r="L68" i="13"/>
  <c r="L66" i="13" s="1"/>
  <c r="O66" i="13" s="1"/>
  <c r="O57" i="4"/>
  <c r="P273" i="3"/>
  <c r="O349" i="1"/>
  <c r="P140" i="15"/>
  <c r="P252" i="11"/>
  <c r="O148" i="1"/>
  <c r="P224" i="1"/>
  <c r="K630" i="1"/>
  <c r="L292" i="17"/>
  <c r="O292" i="17" s="1"/>
  <c r="L292" i="11"/>
  <c r="L290" i="11" s="1"/>
  <c r="O290" i="11" s="1"/>
  <c r="O122" i="8"/>
  <c r="L273" i="9"/>
  <c r="O273" i="9" s="1"/>
  <c r="O294" i="4"/>
  <c r="K420" i="1"/>
  <c r="K201" i="1"/>
  <c r="M66" i="17"/>
  <c r="P66" i="17" s="1"/>
  <c r="K455" i="1"/>
  <c r="O459" i="1"/>
  <c r="K628" i="1"/>
  <c r="K189" i="1"/>
  <c r="K597" i="1"/>
  <c r="O551" i="1"/>
  <c r="K235" i="1"/>
  <c r="K133" i="1"/>
  <c r="P333" i="1"/>
  <c r="O122" i="18"/>
  <c r="O333" i="13"/>
  <c r="P142" i="14"/>
  <c r="K464" i="1"/>
  <c r="O122" i="4"/>
  <c r="P275" i="1"/>
  <c r="K324" i="1"/>
  <c r="O537" i="1"/>
  <c r="K85" i="1"/>
  <c r="K465" i="1"/>
  <c r="P331" i="17"/>
  <c r="K375" i="1"/>
  <c r="L120" i="11"/>
  <c r="O120" i="11" s="1"/>
  <c r="K176" i="1"/>
  <c r="K113" i="1"/>
  <c r="P16" i="13"/>
  <c r="O580" i="1"/>
  <c r="K593" i="1"/>
  <c r="K634" i="1"/>
  <c r="O224" i="13"/>
  <c r="K618" i="1"/>
  <c r="K93" i="1"/>
  <c r="K289" i="1"/>
  <c r="L120" i="13"/>
  <c r="O120" i="13" s="1"/>
  <c r="M26" i="10"/>
  <c r="M20" i="10" s="1"/>
  <c r="M94" i="2"/>
  <c r="P94" i="2" s="1"/>
  <c r="O68" i="2"/>
  <c r="N66" i="6"/>
  <c r="P66" i="6" s="1"/>
  <c r="O68" i="6"/>
  <c r="K423" i="1"/>
  <c r="K418" i="1"/>
  <c r="O55" i="6"/>
  <c r="K309" i="1"/>
  <c r="P220" i="17"/>
  <c r="M66" i="9"/>
  <c r="P66" i="9" s="1"/>
  <c r="L331" i="9"/>
  <c r="L329" i="9" s="1"/>
  <c r="O329" i="9" s="1"/>
  <c r="P22" i="4"/>
  <c r="O34" i="3"/>
  <c r="O144" i="4"/>
  <c r="O122" i="3"/>
  <c r="O34" i="14"/>
  <c r="O142" i="7"/>
  <c r="K204" i="1"/>
  <c r="K398" i="1"/>
  <c r="K229" i="1"/>
  <c r="K138" i="1"/>
  <c r="O34" i="8"/>
  <c r="N220" i="11"/>
  <c r="P220" i="11" s="1"/>
  <c r="L120" i="7"/>
  <c r="O120" i="7" s="1"/>
  <c r="O70" i="7"/>
  <c r="N11" i="4"/>
  <c r="N9" i="4" s="1"/>
  <c r="N20" i="3"/>
  <c r="N18" i="3" s="1"/>
  <c r="O294" i="3"/>
  <c r="L273" i="2"/>
  <c r="L271" i="2" s="1"/>
  <c r="O271" i="2" s="1"/>
  <c r="O347" i="1"/>
  <c r="L142" i="16"/>
  <c r="O142" i="16" s="1"/>
  <c r="O222" i="16"/>
  <c r="P43" i="9"/>
  <c r="O144" i="9"/>
  <c r="P96" i="7"/>
  <c r="L55" i="5"/>
  <c r="O55" i="5" s="1"/>
  <c r="N28" i="4"/>
  <c r="O57" i="2"/>
  <c r="K349" i="1"/>
  <c r="K265" i="1"/>
  <c r="P55" i="17"/>
  <c r="M250" i="10"/>
  <c r="P250" i="10" s="1"/>
  <c r="M250" i="6"/>
  <c r="P250" i="6" s="1"/>
  <c r="K267" i="1"/>
  <c r="K306" i="1"/>
  <c r="K591" i="1"/>
  <c r="O404" i="1"/>
  <c r="K547" i="1"/>
  <c r="K432" i="1"/>
  <c r="O568" i="1"/>
  <c r="K199" i="1"/>
  <c r="K164" i="1"/>
  <c r="K635" i="1"/>
  <c r="K216" i="1"/>
  <c r="P222" i="8"/>
  <c r="O43" i="18"/>
  <c r="O312" i="5"/>
  <c r="L310" i="5"/>
  <c r="O310" i="5" s="1"/>
  <c r="O312" i="12"/>
  <c r="L310" i="12"/>
  <c r="O310" i="12" s="1"/>
  <c r="P331" i="6"/>
  <c r="L120" i="12"/>
  <c r="O120" i="12" s="1"/>
  <c r="O34" i="11"/>
  <c r="L120" i="10"/>
  <c r="O120" i="10" s="1"/>
  <c r="O254" i="7"/>
  <c r="M329" i="5"/>
  <c r="P329" i="5" s="1"/>
  <c r="O254" i="4"/>
  <c r="K450" i="1"/>
  <c r="N220" i="12"/>
  <c r="P220" i="12" s="1"/>
  <c r="O275" i="12"/>
  <c r="O314" i="5"/>
  <c r="K631" i="1"/>
  <c r="O314" i="12"/>
  <c r="P43" i="10"/>
  <c r="O45" i="18"/>
  <c r="P252" i="16"/>
  <c r="M310" i="15"/>
  <c r="P310" i="15" s="1"/>
  <c r="N11" i="13"/>
  <c r="N9" i="13" s="1"/>
  <c r="L53" i="6"/>
  <c r="O53" i="6" s="1"/>
  <c r="P43" i="6"/>
  <c r="L11" i="3"/>
  <c r="L9" i="3" s="1"/>
  <c r="O252" i="4"/>
  <c r="K370" i="1"/>
  <c r="M22" i="1"/>
  <c r="M12" i="1" s="1"/>
  <c r="K466" i="1"/>
  <c r="L222" i="7"/>
  <c r="L220" i="7" s="1"/>
  <c r="O220" i="7" s="1"/>
  <c r="O275" i="13"/>
  <c r="L222" i="4"/>
  <c r="L220" i="4" s="1"/>
  <c r="M310" i="6"/>
  <c r="P310" i="6" s="1"/>
  <c r="M43" i="7"/>
  <c r="P43" i="7" s="1"/>
  <c r="M118" i="4"/>
  <c r="P118" i="4" s="1"/>
  <c r="M331" i="7"/>
  <c r="P331" i="7" s="1"/>
  <c r="L120" i="5"/>
  <c r="O120" i="5" s="1"/>
  <c r="L312" i="6"/>
  <c r="O312" i="6" s="1"/>
  <c r="O435" i="1"/>
  <c r="N55" i="1"/>
  <c r="N53" i="1" s="1"/>
  <c r="P53" i="1" s="1"/>
  <c r="L96" i="12"/>
  <c r="L94" i="12" s="1"/>
  <c r="O94" i="12" s="1"/>
  <c r="N11" i="10"/>
  <c r="N9" i="10" s="1"/>
  <c r="P292" i="8"/>
  <c r="O294" i="6"/>
  <c r="P55" i="6"/>
  <c r="O70" i="6"/>
  <c r="P252" i="18"/>
  <c r="P55" i="3"/>
  <c r="O49" i="1"/>
  <c r="K595" i="1"/>
  <c r="K350" i="1"/>
  <c r="P273" i="15"/>
  <c r="P22" i="16"/>
  <c r="P222" i="15"/>
  <c r="L43" i="14"/>
  <c r="L41" i="14" s="1"/>
  <c r="N118" i="15"/>
  <c r="N37" i="15" s="1"/>
  <c r="P118" i="11"/>
  <c r="M310" i="8"/>
  <c r="P310" i="8" s="1"/>
  <c r="P53" i="6"/>
  <c r="M66" i="2"/>
  <c r="P66" i="2" s="1"/>
  <c r="L222" i="2"/>
  <c r="L220" i="2" s="1"/>
  <c r="O220" i="2" s="1"/>
  <c r="L96" i="3"/>
  <c r="O96" i="3" s="1"/>
  <c r="L252" i="2"/>
  <c r="O252" i="2" s="1"/>
  <c r="N12" i="11"/>
  <c r="O31" i="3"/>
  <c r="K573" i="1"/>
  <c r="K481" i="1"/>
  <c r="O535" i="1"/>
  <c r="P294" i="1"/>
  <c r="P250" i="18"/>
  <c r="L312" i="9"/>
  <c r="L310" i="9" s="1"/>
  <c r="O310" i="9" s="1"/>
  <c r="P118" i="6"/>
  <c r="P120" i="6"/>
  <c r="M290" i="2"/>
  <c r="P290" i="2" s="1"/>
  <c r="O555" i="1"/>
  <c r="K474" i="1"/>
  <c r="P142" i="15"/>
  <c r="L14" i="16"/>
  <c r="O14" i="16" s="1"/>
  <c r="K397" i="1"/>
  <c r="P53" i="3"/>
  <c r="K84" i="1"/>
  <c r="O53" i="4"/>
  <c r="M220" i="8"/>
  <c r="L23" i="1"/>
  <c r="O23" i="1" s="1"/>
  <c r="O31" i="16"/>
  <c r="M96" i="4"/>
  <c r="M94" i="4" s="1"/>
  <c r="P94" i="4" s="1"/>
  <c r="O94" i="6"/>
  <c r="K64" i="1"/>
  <c r="O30" i="14"/>
  <c r="L29" i="16"/>
  <c r="O29" i="16" s="1"/>
  <c r="M310" i="9"/>
  <c r="P310" i="9" s="1"/>
  <c r="O439" i="1"/>
  <c r="K264" i="1"/>
  <c r="P252" i="17"/>
  <c r="L331" i="7"/>
  <c r="O331" i="7" s="1"/>
  <c r="L222" i="5"/>
  <c r="O222" i="5" s="1"/>
  <c r="N41" i="18"/>
  <c r="P41" i="18" s="1"/>
  <c r="K343" i="1"/>
  <c r="K83" i="1"/>
  <c r="P144" i="1"/>
  <c r="N12" i="3"/>
  <c r="N10" i="3" s="1"/>
  <c r="N8" i="3" s="1"/>
  <c r="N26" i="1"/>
  <c r="N16" i="1" s="1"/>
  <c r="L55" i="15"/>
  <c r="L53" i="15" s="1"/>
  <c r="O53" i="15" s="1"/>
  <c r="O120" i="15"/>
  <c r="P250" i="3"/>
  <c r="O142" i="4"/>
  <c r="P140" i="10"/>
  <c r="O120" i="6"/>
  <c r="L118" i="6"/>
  <c r="O118" i="6" s="1"/>
  <c r="N292" i="1"/>
  <c r="M271" i="18"/>
  <c r="P271" i="18" s="1"/>
  <c r="L120" i="14"/>
  <c r="O120" i="14" s="1"/>
  <c r="L11" i="14"/>
  <c r="O11" i="14" s="1"/>
  <c r="P22" i="12"/>
  <c r="P22" i="9"/>
  <c r="O43" i="5"/>
  <c r="L96" i="2"/>
  <c r="L94" i="2" s="1"/>
  <c r="O94" i="2" s="1"/>
  <c r="N310" i="2"/>
  <c r="P310" i="2" s="1"/>
  <c r="P142" i="17"/>
  <c r="P222" i="18"/>
  <c r="P142" i="16"/>
  <c r="L292" i="15"/>
  <c r="O292" i="15" s="1"/>
  <c r="P53" i="13"/>
  <c r="L14" i="12"/>
  <c r="O14" i="12" s="1"/>
  <c r="L29" i="14"/>
  <c r="O29" i="14" s="1"/>
  <c r="N11" i="12"/>
  <c r="N9" i="12" s="1"/>
  <c r="O333" i="8"/>
  <c r="L140" i="9"/>
  <c r="O140" i="9" s="1"/>
  <c r="M12" i="9"/>
  <c r="M10" i="9" s="1"/>
  <c r="P140" i="6"/>
  <c r="L14" i="7"/>
  <c r="O14" i="7" s="1"/>
  <c r="O144" i="6"/>
  <c r="N29" i="6"/>
  <c r="N28" i="6" s="1"/>
  <c r="K619" i="1"/>
  <c r="K629" i="1"/>
  <c r="L43" i="2"/>
  <c r="L41" i="2" s="1"/>
  <c r="O337" i="1"/>
  <c r="O57" i="16"/>
  <c r="N29" i="15"/>
  <c r="N28" i="15" s="1"/>
  <c r="P22" i="10"/>
  <c r="O331" i="5"/>
  <c r="N28" i="5"/>
  <c r="P222" i="5"/>
  <c r="O273" i="3"/>
  <c r="L22" i="5"/>
  <c r="O22" i="5" s="1"/>
  <c r="N22" i="1"/>
  <c r="P43" i="2"/>
  <c r="P57" i="1"/>
  <c r="L118" i="18"/>
  <c r="O118" i="18" s="1"/>
  <c r="O55" i="16"/>
  <c r="L118" i="15"/>
  <c r="L68" i="11"/>
  <c r="O68" i="11" s="1"/>
  <c r="M118" i="18"/>
  <c r="P118" i="18" s="1"/>
  <c r="L273" i="14"/>
  <c r="O273" i="14" s="1"/>
  <c r="O32" i="10"/>
  <c r="N20" i="11"/>
  <c r="N18" i="11" s="1"/>
  <c r="P55" i="8"/>
  <c r="L66" i="6"/>
  <c r="O34" i="10"/>
  <c r="K427" i="1"/>
  <c r="O252" i="3"/>
  <c r="L31" i="1"/>
  <c r="L29" i="1" s="1"/>
  <c r="N28" i="12"/>
  <c r="O553" i="1"/>
  <c r="K345" i="1"/>
  <c r="P222" i="14"/>
  <c r="L24" i="1"/>
  <c r="O24" i="1" s="1"/>
  <c r="P271" i="16"/>
  <c r="O122" i="15"/>
  <c r="L118" i="8"/>
  <c r="O118" i="8" s="1"/>
  <c r="O333" i="18"/>
  <c r="P222" i="17"/>
  <c r="M94" i="16"/>
  <c r="P94" i="16" s="1"/>
  <c r="L292" i="16"/>
  <c r="O292" i="16" s="1"/>
  <c r="L41" i="15"/>
  <c r="O41" i="15" s="1"/>
  <c r="P312" i="11"/>
  <c r="P120" i="11"/>
  <c r="L331" i="10"/>
  <c r="O331" i="10" s="1"/>
  <c r="L252" i="8"/>
  <c r="O252" i="8" s="1"/>
  <c r="L310" i="4"/>
  <c r="O310" i="4" s="1"/>
  <c r="L292" i="8"/>
  <c r="O292" i="8" s="1"/>
  <c r="L43" i="8"/>
  <c r="O43" i="8" s="1"/>
  <c r="P66" i="4"/>
  <c r="L140" i="4"/>
  <c r="K612" i="1"/>
  <c r="O98" i="4"/>
  <c r="P68" i="4"/>
  <c r="P43" i="3"/>
  <c r="L273" i="5"/>
  <c r="O273" i="5" s="1"/>
  <c r="K381" i="1"/>
  <c r="L142" i="11"/>
  <c r="O142" i="11" s="1"/>
  <c r="O566" i="1"/>
  <c r="N28" i="18"/>
  <c r="P312" i="18"/>
  <c r="O30" i="17"/>
  <c r="L22" i="14"/>
  <c r="L20" i="14" s="1"/>
  <c r="M250" i="14"/>
  <c r="P250" i="14" s="1"/>
  <c r="O273" i="12"/>
  <c r="M290" i="10"/>
  <c r="P290" i="10" s="1"/>
  <c r="O30" i="9"/>
  <c r="P142" i="7"/>
  <c r="P252" i="3"/>
  <c r="O45" i="5"/>
  <c r="P337" i="1"/>
  <c r="K341" i="1"/>
  <c r="O601" i="1"/>
  <c r="K613" i="1"/>
  <c r="P140" i="14"/>
  <c r="O32" i="17"/>
  <c r="O254" i="9"/>
  <c r="P142" i="3"/>
  <c r="L250" i="10"/>
  <c r="O250" i="10" s="1"/>
  <c r="O252" i="10"/>
  <c r="M94" i="18"/>
  <c r="P94" i="18" s="1"/>
  <c r="M41" i="3"/>
  <c r="P41" i="3" s="1"/>
  <c r="O275" i="3"/>
  <c r="N28" i="11"/>
  <c r="O57" i="7"/>
  <c r="O32" i="14"/>
  <c r="M250" i="13"/>
  <c r="P250" i="13" s="1"/>
  <c r="M290" i="7"/>
  <c r="P290" i="7" s="1"/>
  <c r="L329" i="5"/>
  <c r="O329" i="5" s="1"/>
  <c r="P55" i="4"/>
  <c r="N34" i="1"/>
  <c r="N14" i="1" s="1"/>
  <c r="P22" i="18"/>
  <c r="O254" i="10"/>
  <c r="O34" i="16"/>
  <c r="M220" i="5"/>
  <c r="P220" i="5" s="1"/>
  <c r="O43" i="7"/>
  <c r="L142" i="5"/>
  <c r="L140" i="5" s="1"/>
  <c r="O140" i="5" s="1"/>
  <c r="O34" i="4"/>
  <c r="L26" i="1"/>
  <c r="L16" i="1" s="1"/>
  <c r="N11" i="9"/>
  <c r="N9" i="9" s="1"/>
  <c r="O333" i="5"/>
  <c r="O144" i="5"/>
  <c r="N31" i="1"/>
  <c r="N29" i="1" s="1"/>
  <c r="K589" i="1"/>
  <c r="P222" i="6"/>
  <c r="N11" i="7"/>
  <c r="N9" i="7" s="1"/>
  <c r="O142" i="8"/>
  <c r="K580" i="1"/>
  <c r="L68" i="9"/>
  <c r="L66" i="9" s="1"/>
  <c r="O66" i="9" s="1"/>
  <c r="L142" i="2"/>
  <c r="O142" i="2" s="1"/>
  <c r="P120" i="17"/>
  <c r="L68" i="4"/>
  <c r="L66" i="4" s="1"/>
  <c r="O66" i="4" s="1"/>
  <c r="K497" i="1"/>
  <c r="L22" i="18"/>
  <c r="L20" i="18" s="1"/>
  <c r="L18" i="18" s="1"/>
  <c r="M41" i="9"/>
  <c r="P41" i="9" s="1"/>
  <c r="K560" i="1"/>
  <c r="P273" i="16"/>
  <c r="N28" i="13"/>
  <c r="P26" i="13"/>
  <c r="O32" i="13"/>
  <c r="O16" i="13"/>
  <c r="P66" i="12"/>
  <c r="M94" i="7"/>
  <c r="P94" i="7" s="1"/>
  <c r="P66" i="18"/>
  <c r="O314" i="13"/>
  <c r="M310" i="14"/>
  <c r="P310" i="14" s="1"/>
  <c r="O26" i="13"/>
  <c r="L13" i="14"/>
  <c r="O13" i="14" s="1"/>
  <c r="M66" i="10"/>
  <c r="P66" i="10" s="1"/>
  <c r="O329" i="8"/>
  <c r="O94" i="8"/>
  <c r="N220" i="4"/>
  <c r="P220" i="4" s="1"/>
  <c r="P329" i="12"/>
  <c r="L222" i="12"/>
  <c r="O34" i="2"/>
  <c r="O32" i="4"/>
  <c r="N20" i="18"/>
  <c r="N18" i="18" s="1"/>
  <c r="M41" i="10"/>
  <c r="P41" i="10" s="1"/>
  <c r="L271" i="6"/>
  <c r="O271" i="6" s="1"/>
  <c r="L53" i="7"/>
  <c r="O53" i="7" s="1"/>
  <c r="N33" i="1"/>
  <c r="N13" i="1" s="1"/>
  <c r="N20" i="10"/>
  <c r="N18" i="10" s="1"/>
  <c r="N53" i="16"/>
  <c r="O53" i="16" s="1"/>
  <c r="P68" i="12"/>
  <c r="P68" i="13"/>
  <c r="M66" i="13"/>
  <c r="P66" i="13" s="1"/>
  <c r="O275" i="4"/>
  <c r="L273" i="4"/>
  <c r="L271" i="4" s="1"/>
  <c r="O252" i="9"/>
  <c r="L250" i="9"/>
  <c r="O250" i="9" s="1"/>
  <c r="O273" i="10"/>
  <c r="L271" i="10"/>
  <c r="O271" i="10" s="1"/>
  <c r="O331" i="6"/>
  <c r="L329" i="6"/>
  <c r="O329" i="6" s="1"/>
  <c r="O292" i="4"/>
  <c r="L290" i="4"/>
  <c r="O290" i="4" s="1"/>
  <c r="L222" i="17"/>
  <c r="O224" i="17"/>
  <c r="O70" i="15"/>
  <c r="L68" i="15"/>
  <c r="L252" i="15"/>
  <c r="O252" i="15" s="1"/>
  <c r="M331" i="14"/>
  <c r="M329" i="14" s="1"/>
  <c r="P329" i="14" s="1"/>
  <c r="P271" i="13"/>
  <c r="L55" i="12"/>
  <c r="L53" i="12" s="1"/>
  <c r="O53" i="12" s="1"/>
  <c r="L11" i="11"/>
  <c r="O11" i="11" s="1"/>
  <c r="O275" i="10"/>
  <c r="M94" i="9"/>
  <c r="P94" i="9" s="1"/>
  <c r="L310" i="7"/>
  <c r="O310" i="7" s="1"/>
  <c r="M53" i="7"/>
  <c r="P53" i="7" s="1"/>
  <c r="O142" i="6"/>
  <c r="L271" i="7"/>
  <c r="O271" i="7" s="1"/>
  <c r="N37" i="7"/>
  <c r="L30" i="4"/>
  <c r="O30" i="4" s="1"/>
  <c r="O144" i="17"/>
  <c r="L142" i="17"/>
  <c r="L142" i="15"/>
  <c r="O144" i="15"/>
  <c r="P120" i="13"/>
  <c r="P55" i="2"/>
  <c r="O599" i="1"/>
  <c r="P53" i="11"/>
  <c r="O333" i="6"/>
  <c r="O254" i="16"/>
  <c r="L252" i="16"/>
  <c r="P55" i="9"/>
  <c r="O31" i="8"/>
  <c r="L11" i="8"/>
  <c r="O11" i="8" s="1"/>
  <c r="L312" i="15"/>
  <c r="O312" i="15" s="1"/>
  <c r="P55" i="15"/>
  <c r="L222" i="11"/>
  <c r="L29" i="11"/>
  <c r="O29" i="11" s="1"/>
  <c r="O98" i="8"/>
  <c r="O34" i="6"/>
  <c r="O34" i="7"/>
  <c r="L14" i="2"/>
  <c r="O14" i="2" s="1"/>
  <c r="P252" i="2"/>
  <c r="L13" i="4"/>
  <c r="O13" i="4" s="1"/>
  <c r="N53" i="14"/>
  <c r="P53" i="14" s="1"/>
  <c r="N12" i="18"/>
  <c r="M220" i="15"/>
  <c r="P220" i="15" s="1"/>
  <c r="O45" i="15"/>
  <c r="P118" i="13"/>
  <c r="P331" i="13"/>
  <c r="M53" i="9"/>
  <c r="P53" i="9" s="1"/>
  <c r="O224" i="8"/>
  <c r="M290" i="6"/>
  <c r="P290" i="6" s="1"/>
  <c r="O96" i="6"/>
  <c r="O55" i="2"/>
  <c r="O26" i="10"/>
  <c r="N312" i="1"/>
  <c r="K611" i="1"/>
  <c r="M96" i="6"/>
  <c r="O224" i="3"/>
  <c r="L222" i="3"/>
  <c r="O31" i="13"/>
  <c r="L11" i="13"/>
  <c r="L29" i="13"/>
  <c r="O29" i="13" s="1"/>
  <c r="L41" i="18"/>
  <c r="L14" i="13"/>
  <c r="O14" i="13" s="1"/>
  <c r="M310" i="13"/>
  <c r="P310" i="13" s="1"/>
  <c r="O222" i="13"/>
  <c r="P142" i="12"/>
  <c r="P55" i="11"/>
  <c r="L14" i="10"/>
  <c r="O14" i="10" s="1"/>
  <c r="N29" i="16"/>
  <c r="N28" i="16" s="1"/>
  <c r="N11" i="16"/>
  <c r="N9" i="16" s="1"/>
  <c r="P273" i="13"/>
  <c r="K615" i="1"/>
  <c r="K616" i="1"/>
  <c r="O352" i="1"/>
  <c r="N32" i="1"/>
  <c r="O31" i="12"/>
  <c r="L11" i="12"/>
  <c r="L29" i="12"/>
  <c r="O29" i="12" s="1"/>
  <c r="P271" i="14"/>
  <c r="M292" i="1"/>
  <c r="P273" i="11"/>
  <c r="O34" i="9"/>
  <c r="P53" i="2"/>
  <c r="N118" i="17"/>
  <c r="P118" i="17" s="1"/>
  <c r="O98" i="15"/>
  <c r="L96" i="15"/>
  <c r="L30" i="11"/>
  <c r="O30" i="11" s="1"/>
  <c r="O32" i="11"/>
  <c r="O34" i="18"/>
  <c r="M250" i="17"/>
  <c r="P250" i="17" s="1"/>
  <c r="L222" i="18"/>
  <c r="O222" i="18" s="1"/>
  <c r="P118" i="16"/>
  <c r="O331" i="13"/>
  <c r="P271" i="11"/>
  <c r="L29" i="8"/>
  <c r="O29" i="8" s="1"/>
  <c r="L140" i="7"/>
  <c r="O140" i="7" s="1"/>
  <c r="L250" i="3"/>
  <c r="O250" i="3" s="1"/>
  <c r="O53" i="2"/>
  <c r="P43" i="4"/>
  <c r="M41" i="4"/>
  <c r="P26" i="12"/>
  <c r="M16" i="12"/>
  <c r="P16" i="12" s="1"/>
  <c r="M20" i="12"/>
  <c r="L273" i="16"/>
  <c r="O275" i="16"/>
  <c r="O41" i="7"/>
  <c r="L30" i="3"/>
  <c r="O32" i="3"/>
  <c r="P331" i="15"/>
  <c r="M329" i="15"/>
  <c r="P329" i="15" s="1"/>
  <c r="M94" i="3"/>
  <c r="P94" i="3" s="1"/>
  <c r="P96" i="3"/>
  <c r="L96" i="18"/>
  <c r="O98" i="18"/>
  <c r="O312" i="18"/>
  <c r="L310" i="18"/>
  <c r="O310" i="18" s="1"/>
  <c r="P43" i="17"/>
  <c r="M41" i="17"/>
  <c r="O329" i="18"/>
  <c r="O23" i="17"/>
  <c r="L13" i="17"/>
  <c r="O13" i="17" s="1"/>
  <c r="N20" i="17"/>
  <c r="N18" i="17" s="1"/>
  <c r="N12" i="17"/>
  <c r="N10" i="17" s="1"/>
  <c r="O26" i="17"/>
  <c r="L16" i="17"/>
  <c r="O16" i="17" s="1"/>
  <c r="M94" i="17"/>
  <c r="P94" i="17" s="1"/>
  <c r="L120" i="16"/>
  <c r="O122" i="16"/>
  <c r="P68" i="16"/>
  <c r="M16" i="15"/>
  <c r="P16" i="15" s="1"/>
  <c r="P26" i="15"/>
  <c r="M20" i="13"/>
  <c r="P22" i="13"/>
  <c r="M12" i="13"/>
  <c r="O30" i="13"/>
  <c r="P102" i="14"/>
  <c r="M96" i="14"/>
  <c r="M26" i="14"/>
  <c r="M20" i="14" s="1"/>
  <c r="M41" i="12"/>
  <c r="P43" i="12"/>
  <c r="L66" i="12"/>
  <c r="O66" i="12" s="1"/>
  <c r="O23" i="12"/>
  <c r="L13" i="12"/>
  <c r="O13" i="12" s="1"/>
  <c r="M329" i="13"/>
  <c r="P329" i="13" s="1"/>
  <c r="O26" i="12"/>
  <c r="L16" i="12"/>
  <c r="O16" i="12" s="1"/>
  <c r="P29" i="12"/>
  <c r="M28" i="12"/>
  <c r="P28" i="12" s="1"/>
  <c r="M250" i="11"/>
  <c r="P250" i="11" s="1"/>
  <c r="P222" i="9"/>
  <c r="M220" i="9"/>
  <c r="P220" i="9" s="1"/>
  <c r="M9" i="9"/>
  <c r="P11" i="9"/>
  <c r="N37" i="9"/>
  <c r="O23" i="8"/>
  <c r="L13" i="8"/>
  <c r="O13" i="8" s="1"/>
  <c r="O331" i="8"/>
  <c r="L14" i="9"/>
  <c r="O14" i="9" s="1"/>
  <c r="M220" i="6"/>
  <c r="P220" i="6" s="1"/>
  <c r="P142" i="6"/>
  <c r="P9" i="7"/>
  <c r="M140" i="5"/>
  <c r="P140" i="5" s="1"/>
  <c r="P142" i="5"/>
  <c r="O19" i="7"/>
  <c r="P331" i="8"/>
  <c r="M329" i="8"/>
  <c r="P329" i="8" s="1"/>
  <c r="M53" i="5"/>
  <c r="P53" i="5" s="1"/>
  <c r="P55" i="5"/>
  <c r="P19" i="4"/>
  <c r="M329" i="2"/>
  <c r="P331" i="2"/>
  <c r="P43" i="8"/>
  <c r="M41" i="8"/>
  <c r="O222" i="6"/>
  <c r="P43" i="5"/>
  <c r="M41" i="5"/>
  <c r="N66" i="3"/>
  <c r="O66" i="3" s="1"/>
  <c r="P68" i="3"/>
  <c r="N68" i="1"/>
  <c r="P312" i="5"/>
  <c r="M310" i="5"/>
  <c r="P310" i="5" s="1"/>
  <c r="M312" i="1"/>
  <c r="O68" i="3"/>
  <c r="N94" i="2"/>
  <c r="N96" i="1"/>
  <c r="M9" i="2"/>
  <c r="P15" i="2"/>
  <c r="P19" i="2"/>
  <c r="O45" i="3"/>
  <c r="L43" i="3"/>
  <c r="L22" i="3"/>
  <c r="L45" i="1"/>
  <c r="N329" i="2"/>
  <c r="N329" i="1" s="1"/>
  <c r="N331" i="1"/>
  <c r="P11" i="1"/>
  <c r="M9" i="1"/>
  <c r="O254" i="17"/>
  <c r="L252" i="17"/>
  <c r="L43" i="16"/>
  <c r="O45" i="16"/>
  <c r="L22" i="16"/>
  <c r="O23" i="15"/>
  <c r="L13" i="15"/>
  <c r="O13" i="15" s="1"/>
  <c r="P222" i="16"/>
  <c r="M220" i="16"/>
  <c r="P220" i="16" s="1"/>
  <c r="O273" i="13"/>
  <c r="L271" i="13"/>
  <c r="O271" i="13" s="1"/>
  <c r="P142" i="11"/>
  <c r="M140" i="11"/>
  <c r="P140" i="11" s="1"/>
  <c r="N12" i="2"/>
  <c r="N10" i="2" s="1"/>
  <c r="N20" i="2"/>
  <c r="N18" i="2" s="1"/>
  <c r="L142" i="18"/>
  <c r="O144" i="18"/>
  <c r="O57" i="18"/>
  <c r="L55" i="18"/>
  <c r="M9" i="18"/>
  <c r="P11" i="18"/>
  <c r="O331" i="18"/>
  <c r="L220" i="16"/>
  <c r="O220" i="16" s="1"/>
  <c r="O98" i="17"/>
  <c r="L96" i="17"/>
  <c r="O294" i="14"/>
  <c r="L292" i="14"/>
  <c r="L294" i="1"/>
  <c r="O294" i="1" s="1"/>
  <c r="M66" i="16"/>
  <c r="P66" i="16" s="1"/>
  <c r="P142" i="13"/>
  <c r="M140" i="13"/>
  <c r="P140" i="13" s="1"/>
  <c r="O34" i="13"/>
  <c r="P55" i="12"/>
  <c r="M53" i="12"/>
  <c r="P53" i="12" s="1"/>
  <c r="L16" i="15"/>
  <c r="O16" i="15" s="1"/>
  <c r="O26" i="15"/>
  <c r="P331" i="11"/>
  <c r="M329" i="11"/>
  <c r="P329" i="11" s="1"/>
  <c r="N250" i="12"/>
  <c r="P250" i="12" s="1"/>
  <c r="P9" i="11"/>
  <c r="P22" i="11"/>
  <c r="M12" i="11"/>
  <c r="M20" i="11"/>
  <c r="O23" i="11"/>
  <c r="L13" i="11"/>
  <c r="O13" i="11" s="1"/>
  <c r="M94" i="8"/>
  <c r="P94" i="8" s="1"/>
  <c r="P96" i="8"/>
  <c r="P29" i="9"/>
  <c r="M28" i="9"/>
  <c r="P28" i="9" s="1"/>
  <c r="P41" i="11"/>
  <c r="M66" i="8"/>
  <c r="P66" i="8" s="1"/>
  <c r="P68" i="8"/>
  <c r="O57" i="8"/>
  <c r="L55" i="8"/>
  <c r="L22" i="8"/>
  <c r="O23" i="7"/>
  <c r="L13" i="7"/>
  <c r="O13" i="7" s="1"/>
  <c r="M94" i="5"/>
  <c r="P94" i="5" s="1"/>
  <c r="P96" i="5"/>
  <c r="L250" i="7"/>
  <c r="O250" i="7" s="1"/>
  <c r="O11" i="6"/>
  <c r="L9" i="6"/>
  <c r="N20" i="7"/>
  <c r="N18" i="7" s="1"/>
  <c r="N12" i="7"/>
  <c r="N10" i="7" s="1"/>
  <c r="M9" i="4"/>
  <c r="P11" i="4"/>
  <c r="M9" i="6"/>
  <c r="P11" i="6"/>
  <c r="L22" i="4"/>
  <c r="O45" i="4"/>
  <c r="L43" i="4"/>
  <c r="O34" i="5"/>
  <c r="L14" i="5"/>
  <c r="O14" i="5" s="1"/>
  <c r="O19" i="3"/>
  <c r="P29" i="2"/>
  <c r="M28" i="2"/>
  <c r="P28" i="2" s="1"/>
  <c r="P26" i="5"/>
  <c r="M16" i="5"/>
  <c r="P16" i="5" s="1"/>
  <c r="M329" i="6"/>
  <c r="P329" i="6" s="1"/>
  <c r="N20" i="5"/>
  <c r="N18" i="5" s="1"/>
  <c r="N12" i="5"/>
  <c r="N10" i="5" s="1"/>
  <c r="L290" i="3"/>
  <c r="O290" i="3" s="1"/>
  <c r="O292" i="3"/>
  <c r="P26" i="3"/>
  <c r="M16" i="3"/>
  <c r="P16" i="3" s="1"/>
  <c r="L271" i="3"/>
  <c r="O271" i="3" s="1"/>
  <c r="O66" i="2"/>
  <c r="L14" i="4"/>
  <c r="O14" i="4" s="1"/>
  <c r="O224" i="15"/>
  <c r="L222" i="15"/>
  <c r="L22" i="15"/>
  <c r="O68" i="14"/>
  <c r="L66" i="14"/>
  <c r="O66" i="14" s="1"/>
  <c r="N16" i="11"/>
  <c r="P26" i="11"/>
  <c r="L29" i="9"/>
  <c r="L11" i="9"/>
  <c r="O31" i="9"/>
  <c r="M28" i="4"/>
  <c r="P28" i="4" s="1"/>
  <c r="P29" i="4"/>
  <c r="O384" i="1"/>
  <c r="L33" i="1"/>
  <c r="P43" i="15"/>
  <c r="M41" i="15"/>
  <c r="P292" i="12"/>
  <c r="M290" i="12"/>
  <c r="P290" i="12" s="1"/>
  <c r="P331" i="18"/>
  <c r="M329" i="18"/>
  <c r="P329" i="18" s="1"/>
  <c r="N290" i="18"/>
  <c r="O24" i="18"/>
  <c r="L14" i="18"/>
  <c r="O14" i="18" s="1"/>
  <c r="M53" i="17"/>
  <c r="P53" i="17" s="1"/>
  <c r="L9" i="16"/>
  <c r="O11" i="16"/>
  <c r="M41" i="16"/>
  <c r="P43" i="16"/>
  <c r="P19" i="15"/>
  <c r="M9" i="13"/>
  <c r="P11" i="13"/>
  <c r="O26" i="14"/>
  <c r="L16" i="14"/>
  <c r="O16" i="14" s="1"/>
  <c r="P29" i="13"/>
  <c r="M28" i="13"/>
  <c r="P28" i="13" s="1"/>
  <c r="L22" i="13"/>
  <c r="O45" i="13"/>
  <c r="L43" i="13"/>
  <c r="M9" i="12"/>
  <c r="P11" i="12"/>
  <c r="P331" i="12"/>
  <c r="O30" i="12"/>
  <c r="M94" i="10"/>
  <c r="P94" i="10" s="1"/>
  <c r="P96" i="10"/>
  <c r="O254" i="11"/>
  <c r="L252" i="11"/>
  <c r="L22" i="11"/>
  <c r="L254" i="1"/>
  <c r="O254" i="1" s="1"/>
  <c r="M140" i="9"/>
  <c r="P140" i="9" s="1"/>
  <c r="P142" i="9"/>
  <c r="P43" i="11"/>
  <c r="L22" i="9"/>
  <c r="O45" i="9"/>
  <c r="L43" i="9"/>
  <c r="N12" i="9"/>
  <c r="N10" i="9" s="1"/>
  <c r="N20" i="9"/>
  <c r="P20" i="9" s="1"/>
  <c r="O98" i="7"/>
  <c r="L96" i="7"/>
  <c r="L98" i="1"/>
  <c r="O98" i="1" s="1"/>
  <c r="N12" i="8"/>
  <c r="N10" i="8" s="1"/>
  <c r="N20" i="8"/>
  <c r="N18" i="8" s="1"/>
  <c r="O45" i="6"/>
  <c r="L43" i="6"/>
  <c r="L22" i="6"/>
  <c r="L290" i="5"/>
  <c r="O290" i="5" s="1"/>
  <c r="P26" i="9"/>
  <c r="P19" i="6"/>
  <c r="M331" i="4"/>
  <c r="P271" i="2"/>
  <c r="O31" i="5"/>
  <c r="L29" i="5"/>
  <c r="L11" i="5"/>
  <c r="O26" i="3"/>
  <c r="L16" i="3"/>
  <c r="O16" i="3" s="1"/>
  <c r="M20" i="5"/>
  <c r="P22" i="5"/>
  <c r="M12" i="5"/>
  <c r="P142" i="4"/>
  <c r="M140" i="4"/>
  <c r="M142" i="1"/>
  <c r="M28" i="7"/>
  <c r="P28" i="7" s="1"/>
  <c r="P273" i="2"/>
  <c r="M273" i="1"/>
  <c r="N11" i="2"/>
  <c r="N9" i="2" s="1"/>
  <c r="N29" i="2"/>
  <c r="N28" i="2" s="1"/>
  <c r="L13" i="5"/>
  <c r="O13" i="5" s="1"/>
  <c r="N140" i="4"/>
  <c r="N142" i="1"/>
  <c r="L32" i="1"/>
  <c r="L19" i="1"/>
  <c r="O21" i="1"/>
  <c r="P19" i="1"/>
  <c r="O275" i="18"/>
  <c r="L273" i="18"/>
  <c r="L273" i="17"/>
  <c r="O275" i="17"/>
  <c r="M118" i="12"/>
  <c r="P118" i="12" s="1"/>
  <c r="P120" i="12"/>
  <c r="O26" i="5"/>
  <c r="L16" i="5"/>
  <c r="O16" i="5" s="1"/>
  <c r="O314" i="3"/>
  <c r="L312" i="3"/>
  <c r="O23" i="2"/>
  <c r="L13" i="2"/>
  <c r="O13" i="2" s="1"/>
  <c r="O11" i="18"/>
  <c r="L9" i="18"/>
  <c r="O314" i="16"/>
  <c r="L312" i="16"/>
  <c r="O31" i="15"/>
  <c r="L29" i="15"/>
  <c r="L11" i="15"/>
  <c r="P140" i="12"/>
  <c r="L66" i="10"/>
  <c r="O66" i="10" s="1"/>
  <c r="O68" i="10"/>
  <c r="P26" i="8"/>
  <c r="M16" i="8"/>
  <c r="P16" i="8" s="1"/>
  <c r="N12" i="6"/>
  <c r="N20" i="6"/>
  <c r="N18" i="6" s="1"/>
  <c r="P22" i="6"/>
  <c r="P41" i="2"/>
  <c r="O354" i="1"/>
  <c r="O23" i="18"/>
  <c r="L13" i="18"/>
  <c r="O13" i="18" s="1"/>
  <c r="L68" i="17"/>
  <c r="O70" i="17"/>
  <c r="L55" i="17"/>
  <c r="O57" i="17"/>
  <c r="O333" i="17"/>
  <c r="L331" i="17"/>
  <c r="N12" i="16"/>
  <c r="N10" i="16" s="1"/>
  <c r="N20" i="16"/>
  <c r="N18" i="16" s="1"/>
  <c r="O275" i="15"/>
  <c r="L273" i="15"/>
  <c r="M329" i="17"/>
  <c r="P329" i="17" s="1"/>
  <c r="P15" i="15"/>
  <c r="M9" i="15"/>
  <c r="N12" i="15"/>
  <c r="N10" i="15" s="1"/>
  <c r="N8" i="15" s="1"/>
  <c r="N20" i="15"/>
  <c r="N18" i="15" s="1"/>
  <c r="M20" i="15"/>
  <c r="L310" i="14"/>
  <c r="O310" i="14" s="1"/>
  <c r="O312" i="14"/>
  <c r="L329" i="13"/>
  <c r="O329" i="13" s="1"/>
  <c r="O23" i="13"/>
  <c r="L13" i="13"/>
  <c r="O13" i="13" s="1"/>
  <c r="N20" i="13"/>
  <c r="N18" i="13" s="1"/>
  <c r="N12" i="13"/>
  <c r="N10" i="13" s="1"/>
  <c r="O55" i="11"/>
  <c r="L53" i="11"/>
  <c r="O53" i="11" s="1"/>
  <c r="M9" i="10"/>
  <c r="P11" i="10"/>
  <c r="N28" i="9"/>
  <c r="M18" i="9"/>
  <c r="O70" i="8"/>
  <c r="L68" i="8"/>
  <c r="L70" i="1"/>
  <c r="O70" i="1" s="1"/>
  <c r="O23" i="9"/>
  <c r="L13" i="9"/>
  <c r="O13" i="9" s="1"/>
  <c r="L22" i="10"/>
  <c r="O45" i="10"/>
  <c r="L43" i="10"/>
  <c r="N220" i="8"/>
  <c r="N37" i="8" s="1"/>
  <c r="N222" i="1"/>
  <c r="O24" i="6"/>
  <c r="L14" i="6"/>
  <c r="O14" i="6" s="1"/>
  <c r="L13" i="6"/>
  <c r="O13" i="6" s="1"/>
  <c r="O23" i="6"/>
  <c r="P222" i="7"/>
  <c r="M220" i="7"/>
  <c r="P220" i="7" s="1"/>
  <c r="P337" i="6"/>
  <c r="M26" i="6"/>
  <c r="O26" i="8"/>
  <c r="L16" i="8"/>
  <c r="O16" i="8" s="1"/>
  <c r="P74" i="7"/>
  <c r="M68" i="7"/>
  <c r="M68" i="1" s="1"/>
  <c r="M26" i="7"/>
  <c r="M74" i="1"/>
  <c r="P74" i="1" s="1"/>
  <c r="M9" i="5"/>
  <c r="P15" i="5"/>
  <c r="N271" i="4"/>
  <c r="P271" i="4" s="1"/>
  <c r="N273" i="1"/>
  <c r="P120" i="5"/>
  <c r="M118" i="5"/>
  <c r="N250" i="4"/>
  <c r="N252" i="1"/>
  <c r="L14" i="8"/>
  <c r="O14" i="8" s="1"/>
  <c r="N12" i="4"/>
  <c r="N10" i="4" s="1"/>
  <c r="N20" i="4"/>
  <c r="N18" i="4" s="1"/>
  <c r="P120" i="2"/>
  <c r="M120" i="1"/>
  <c r="O32" i="5"/>
  <c r="L30" i="5"/>
  <c r="O30" i="5" s="1"/>
  <c r="O23" i="3"/>
  <c r="L13" i="3"/>
  <c r="O13" i="3" s="1"/>
  <c r="O314" i="2"/>
  <c r="L312" i="2"/>
  <c r="L314" i="1"/>
  <c r="O314" i="1" s="1"/>
  <c r="L30" i="2"/>
  <c r="O30" i="2" s="1"/>
  <c r="O32" i="2"/>
  <c r="P22" i="2"/>
  <c r="M12" i="2"/>
  <c r="M20" i="2"/>
  <c r="M20" i="3"/>
  <c r="P22" i="3"/>
  <c r="M12" i="3"/>
  <c r="O19" i="18"/>
  <c r="L14" i="17"/>
  <c r="O14" i="17" s="1"/>
  <c r="O24" i="17"/>
  <c r="O26" i="16"/>
  <c r="L16" i="16"/>
  <c r="O16" i="16" s="1"/>
  <c r="P22" i="14"/>
  <c r="M12" i="14"/>
  <c r="N20" i="14"/>
  <c r="N18" i="14" s="1"/>
  <c r="N12" i="14"/>
  <c r="N10" i="14" s="1"/>
  <c r="O144" i="13"/>
  <c r="L142" i="13"/>
  <c r="L144" i="1"/>
  <c r="O144" i="1" s="1"/>
  <c r="M329" i="3"/>
  <c r="P329" i="3" s="1"/>
  <c r="P331" i="3"/>
  <c r="O24" i="3"/>
  <c r="L14" i="3"/>
  <c r="O14" i="3" s="1"/>
  <c r="L22" i="12"/>
  <c r="O45" i="12"/>
  <c r="L43" i="12"/>
  <c r="P102" i="12"/>
  <c r="M96" i="12"/>
  <c r="M102" i="1"/>
  <c r="P102" i="1" s="1"/>
  <c r="P68" i="11"/>
  <c r="M66" i="11"/>
  <c r="P66" i="11" s="1"/>
  <c r="M140" i="8"/>
  <c r="P140" i="8" s="1"/>
  <c r="P142" i="8"/>
  <c r="M250" i="5"/>
  <c r="P250" i="5" s="1"/>
  <c r="P252" i="5"/>
  <c r="P292" i="18"/>
  <c r="M290" i="18"/>
  <c r="M53" i="18"/>
  <c r="P53" i="18" s="1"/>
  <c r="O292" i="18"/>
  <c r="L290" i="18"/>
  <c r="L29" i="18"/>
  <c r="O31" i="18"/>
  <c r="P292" i="17"/>
  <c r="M290" i="17"/>
  <c r="P290" i="17" s="1"/>
  <c r="O31" i="17"/>
  <c r="L11" i="17"/>
  <c r="L29" i="17"/>
  <c r="P55" i="16"/>
  <c r="M53" i="16"/>
  <c r="L30" i="16"/>
  <c r="O30" i="16" s="1"/>
  <c r="O32" i="16"/>
  <c r="M271" i="15"/>
  <c r="P271" i="15" s="1"/>
  <c r="P66" i="15"/>
  <c r="O19" i="15"/>
  <c r="M41" i="14"/>
  <c r="P43" i="14"/>
  <c r="L222" i="14"/>
  <c r="O224" i="14"/>
  <c r="L224" i="1"/>
  <c r="O224" i="1" s="1"/>
  <c r="P43" i="13"/>
  <c r="M41" i="13"/>
  <c r="O24" i="11"/>
  <c r="L14" i="11"/>
  <c r="O14" i="11" s="1"/>
  <c r="M250" i="9"/>
  <c r="P250" i="9" s="1"/>
  <c r="O32" i="9"/>
  <c r="O26" i="11"/>
  <c r="L16" i="11"/>
  <c r="O26" i="9"/>
  <c r="L16" i="9"/>
  <c r="O16" i="9" s="1"/>
  <c r="O23" i="10"/>
  <c r="L13" i="10"/>
  <c r="O13" i="10" s="1"/>
  <c r="L140" i="8"/>
  <c r="O140" i="8" s="1"/>
  <c r="N28" i="7"/>
  <c r="O31" i="7"/>
  <c r="L11" i="7"/>
  <c r="L29" i="7"/>
  <c r="L16" i="7"/>
  <c r="O16" i="7" s="1"/>
  <c r="O26" i="7"/>
  <c r="P19" i="8"/>
  <c r="P49" i="4"/>
  <c r="M26" i="4"/>
  <c r="M49" i="1"/>
  <c r="L30" i="7"/>
  <c r="O30" i="7" s="1"/>
  <c r="O32" i="7"/>
  <c r="O32" i="6"/>
  <c r="L30" i="6"/>
  <c r="O30" i="6" s="1"/>
  <c r="M9" i="8"/>
  <c r="L290" i="6"/>
  <c r="O290" i="6" s="1"/>
  <c r="P22" i="7"/>
  <c r="P273" i="4"/>
  <c r="L22" i="7"/>
  <c r="L331" i="4"/>
  <c r="O333" i="4"/>
  <c r="L333" i="1"/>
  <c r="O333" i="1" s="1"/>
  <c r="O96" i="4"/>
  <c r="O55" i="4"/>
  <c r="O57" i="3"/>
  <c r="L55" i="3"/>
  <c r="L57" i="1"/>
  <c r="K623" i="1"/>
  <c r="K620" i="1"/>
  <c r="K625" i="1"/>
  <c r="K622" i="1"/>
  <c r="K621" i="1"/>
  <c r="K626" i="1"/>
  <c r="K624" i="1"/>
  <c r="P222" i="2"/>
  <c r="M220" i="2"/>
  <c r="M222" i="1"/>
  <c r="P222" i="3"/>
  <c r="M220" i="3"/>
  <c r="P220" i="3" s="1"/>
  <c r="L34" i="1"/>
  <c r="O31" i="4"/>
  <c r="L29" i="4"/>
  <c r="P250" i="2"/>
  <c r="M9" i="17"/>
  <c r="P11" i="17"/>
  <c r="P22" i="8"/>
  <c r="M12" i="8"/>
  <c r="M20" i="8"/>
  <c r="P68" i="5"/>
  <c r="M66" i="5"/>
  <c r="P66" i="5" s="1"/>
  <c r="O70" i="18"/>
  <c r="L68" i="18"/>
  <c r="L22" i="17"/>
  <c r="O45" i="17"/>
  <c r="L43" i="17"/>
  <c r="M310" i="18"/>
  <c r="P310" i="18" s="1"/>
  <c r="P26" i="18"/>
  <c r="M16" i="18"/>
  <c r="O32" i="18"/>
  <c r="L30" i="18"/>
  <c r="O30" i="18" s="1"/>
  <c r="L252" i="18"/>
  <c r="O254" i="18"/>
  <c r="M140" i="17"/>
  <c r="P140" i="17" s="1"/>
  <c r="P29" i="17"/>
  <c r="M28" i="17"/>
  <c r="P28" i="17" s="1"/>
  <c r="L120" i="17"/>
  <c r="O122" i="17"/>
  <c r="M20" i="17"/>
  <c r="P22" i="17"/>
  <c r="M12" i="17"/>
  <c r="M329" i="16"/>
  <c r="P329" i="16" s="1"/>
  <c r="P331" i="16"/>
  <c r="O26" i="18"/>
  <c r="L16" i="18"/>
  <c r="O16" i="18" s="1"/>
  <c r="P26" i="16"/>
  <c r="M16" i="16"/>
  <c r="P16" i="16" s="1"/>
  <c r="O23" i="16"/>
  <c r="L13" i="16"/>
  <c r="O13" i="16" s="1"/>
  <c r="P68" i="15"/>
  <c r="M20" i="16"/>
  <c r="P96" i="15"/>
  <c r="M94" i="15"/>
  <c r="P94" i="15" s="1"/>
  <c r="L30" i="15"/>
  <c r="O30" i="15" s="1"/>
  <c r="O32" i="15"/>
  <c r="P11" i="14"/>
  <c r="M9" i="14"/>
  <c r="O24" i="14"/>
  <c r="L14" i="14"/>
  <c r="O14" i="14" s="1"/>
  <c r="O34" i="15"/>
  <c r="L14" i="15"/>
  <c r="O14" i="15" s="1"/>
  <c r="O312" i="13"/>
  <c r="L310" i="13"/>
  <c r="O310" i="13" s="1"/>
  <c r="O292" i="13"/>
  <c r="L290" i="13"/>
  <c r="O290" i="13" s="1"/>
  <c r="P273" i="12"/>
  <c r="N271" i="12"/>
  <c r="O333" i="12"/>
  <c r="L331" i="12"/>
  <c r="N220" i="13"/>
  <c r="N37" i="13" s="1"/>
  <c r="O19" i="11"/>
  <c r="O275" i="11"/>
  <c r="L273" i="11"/>
  <c r="L275" i="1"/>
  <c r="O275" i="1" s="1"/>
  <c r="N12" i="12"/>
  <c r="N10" i="12" s="1"/>
  <c r="N20" i="12"/>
  <c r="N18" i="12" s="1"/>
  <c r="P222" i="10"/>
  <c r="M220" i="10"/>
  <c r="P220" i="10" s="1"/>
  <c r="O314" i="10"/>
  <c r="L312" i="10"/>
  <c r="L29" i="10"/>
  <c r="L11" i="10"/>
  <c r="O31" i="10"/>
  <c r="M250" i="8"/>
  <c r="P250" i="8" s="1"/>
  <c r="P252" i="8"/>
  <c r="O96" i="8"/>
  <c r="P331" i="9"/>
  <c r="M329" i="9"/>
  <c r="P329" i="9" s="1"/>
  <c r="P29" i="10"/>
  <c r="M28" i="10"/>
  <c r="P28" i="10" s="1"/>
  <c r="P41" i="6"/>
  <c r="O140" i="6"/>
  <c r="O26" i="4"/>
  <c r="L16" i="4"/>
  <c r="O16" i="4" s="1"/>
  <c r="O94" i="4"/>
  <c r="O292" i="7"/>
  <c r="L290" i="7"/>
  <c r="O290" i="7" s="1"/>
  <c r="L94" i="9"/>
  <c r="O94" i="9" s="1"/>
  <c r="O96" i="9"/>
  <c r="N118" i="5"/>
  <c r="N120" i="1"/>
  <c r="L9" i="4"/>
  <c r="O11" i="4"/>
  <c r="P118" i="2"/>
  <c r="M53" i="8"/>
  <c r="P53" i="8" s="1"/>
  <c r="P252" i="4"/>
  <c r="M252" i="1"/>
  <c r="M250" i="4"/>
  <c r="P273" i="5"/>
  <c r="M271" i="5"/>
  <c r="P271" i="5" s="1"/>
  <c r="O68" i="7"/>
  <c r="L66" i="7"/>
  <c r="O66" i="7" s="1"/>
  <c r="O41" i="5"/>
  <c r="L118" i="3"/>
  <c r="O118" i="3" s="1"/>
  <c r="O26" i="2"/>
  <c r="L16" i="2"/>
  <c r="O16" i="2" s="1"/>
  <c r="L120" i="2"/>
  <c r="O122" i="2"/>
  <c r="L22" i="2"/>
  <c r="L122" i="1"/>
  <c r="O122" i="1" s="1"/>
  <c r="L53" i="14" l="1"/>
  <c r="L250" i="13"/>
  <c r="O250" i="13" s="1"/>
  <c r="P96" i="4"/>
  <c r="L66" i="5"/>
  <c r="O66" i="5" s="1"/>
  <c r="L94" i="11"/>
  <c r="O94" i="11" s="1"/>
  <c r="L290" i="10"/>
  <c r="O290" i="10" s="1"/>
  <c r="M329" i="7"/>
  <c r="P329" i="7" s="1"/>
  <c r="O96" i="13"/>
  <c r="L118" i="9"/>
  <c r="O118" i="9" s="1"/>
  <c r="L94" i="10"/>
  <c r="O94" i="10" s="1"/>
  <c r="O222" i="9"/>
  <c r="O252" i="6"/>
  <c r="L118" i="12"/>
  <c r="O118" i="12" s="1"/>
  <c r="O68" i="13"/>
  <c r="O292" i="12"/>
  <c r="L250" i="5"/>
  <c r="O250" i="5" s="1"/>
  <c r="N8" i="17"/>
  <c r="L310" i="8"/>
  <c r="O310" i="8" s="1"/>
  <c r="L66" i="16"/>
  <c r="O66" i="16" s="1"/>
  <c r="L329" i="16"/>
  <c r="O329" i="16" s="1"/>
  <c r="L290" i="2"/>
  <c r="O55" i="10"/>
  <c r="P331" i="10"/>
  <c r="O273" i="2"/>
  <c r="O252" i="12"/>
  <c r="L53" i="13"/>
  <c r="O53" i="13" s="1"/>
  <c r="O68" i="9"/>
  <c r="O43" i="14"/>
  <c r="L12" i="14"/>
  <c r="L10" i="14" s="1"/>
  <c r="O10" i="14" s="1"/>
  <c r="P312" i="1"/>
  <c r="N37" i="11"/>
  <c r="L140" i="16"/>
  <c r="O140" i="16" s="1"/>
  <c r="L220" i="5"/>
  <c r="O220" i="5" s="1"/>
  <c r="L329" i="3"/>
  <c r="O329" i="3" s="1"/>
  <c r="O11" i="2"/>
  <c r="O43" i="11"/>
  <c r="L271" i="14"/>
  <c r="O271" i="14" s="1"/>
  <c r="O142" i="14"/>
  <c r="N8" i="8"/>
  <c r="L329" i="14"/>
  <c r="O329" i="14" s="1"/>
  <c r="P331" i="14"/>
  <c r="O312" i="11"/>
  <c r="L118" i="13"/>
  <c r="O118" i="13" s="1"/>
  <c r="O312" i="9"/>
  <c r="L250" i="2"/>
  <c r="O250" i="2" s="1"/>
  <c r="L290" i="17"/>
  <c r="O290" i="17" s="1"/>
  <c r="N37" i="10"/>
  <c r="O53" i="10"/>
  <c r="N310" i="1"/>
  <c r="L329" i="15"/>
  <c r="O329" i="15" s="1"/>
  <c r="N118" i="1"/>
  <c r="O292" i="11"/>
  <c r="O222" i="4"/>
  <c r="L220" i="18"/>
  <c r="O220" i="18" s="1"/>
  <c r="N8" i="14"/>
  <c r="L220" i="10"/>
  <c r="O220" i="10" s="1"/>
  <c r="L329" i="11"/>
  <c r="O329" i="11" s="1"/>
  <c r="L271" i="8"/>
  <c r="O271" i="8" s="1"/>
  <c r="O331" i="9"/>
  <c r="L290" i="9"/>
  <c r="O290" i="9" s="1"/>
  <c r="L250" i="15"/>
  <c r="O250" i="15" s="1"/>
  <c r="P55" i="1"/>
  <c r="O118" i="15"/>
  <c r="P66" i="3"/>
  <c r="L310" i="17"/>
  <c r="O310" i="17" s="1"/>
  <c r="L118" i="14"/>
  <c r="O118" i="14" s="1"/>
  <c r="L118" i="11"/>
  <c r="O118" i="11" s="1"/>
  <c r="O142" i="12"/>
  <c r="M10" i="12"/>
  <c r="M8" i="12" s="1"/>
  <c r="O96" i="14"/>
  <c r="O142" i="10"/>
  <c r="O331" i="2"/>
  <c r="N8" i="5"/>
  <c r="N37" i="6"/>
  <c r="L20" i="5"/>
  <c r="L18" i="5" s="1"/>
  <c r="O18" i="5" s="1"/>
  <c r="N8" i="4"/>
  <c r="N8" i="9"/>
  <c r="L140" i="11"/>
  <c r="O140" i="11" s="1"/>
  <c r="L94" i="5"/>
  <c r="O94" i="5" s="1"/>
  <c r="O55" i="9"/>
  <c r="O66" i="6"/>
  <c r="P118" i="15"/>
  <c r="L271" i="9"/>
  <c r="O271" i="9" s="1"/>
  <c r="P20" i="8"/>
  <c r="P12" i="10"/>
  <c r="L53" i="5"/>
  <c r="O53" i="5" s="1"/>
  <c r="O142" i="3"/>
  <c r="O31" i="1"/>
  <c r="N37" i="17"/>
  <c r="N8" i="10"/>
  <c r="N8" i="7"/>
  <c r="O222" i="2"/>
  <c r="L118" i="7"/>
  <c r="O118" i="7" s="1"/>
  <c r="L28" i="13"/>
  <c r="O28" i="13" s="1"/>
  <c r="M16" i="10"/>
  <c r="P16" i="10" s="1"/>
  <c r="L118" i="5"/>
  <c r="O118" i="5" s="1"/>
  <c r="P26" i="10"/>
  <c r="O22" i="18"/>
  <c r="N37" i="18"/>
  <c r="L12" i="18"/>
  <c r="O12" i="18" s="1"/>
  <c r="O41" i="18"/>
  <c r="L12" i="5"/>
  <c r="O12" i="5" s="1"/>
  <c r="L310" i="6"/>
  <c r="O310" i="6" s="1"/>
  <c r="P252" i="1"/>
  <c r="L41" i="8"/>
  <c r="O41" i="8" s="1"/>
  <c r="N8" i="13"/>
  <c r="L290" i="16"/>
  <c r="O290" i="16" s="1"/>
  <c r="L271" i="5"/>
  <c r="O271" i="5" s="1"/>
  <c r="L94" i="3"/>
  <c r="O94" i="3" s="1"/>
  <c r="L28" i="2"/>
  <c r="O28" i="2" s="1"/>
  <c r="O96" i="12"/>
  <c r="O55" i="15"/>
  <c r="N8" i="12"/>
  <c r="L140" i="2"/>
  <c r="O140" i="2" s="1"/>
  <c r="L250" i="8"/>
  <c r="O250" i="8" s="1"/>
  <c r="P68" i="1"/>
  <c r="O140" i="4"/>
  <c r="N11" i="1"/>
  <c r="N9" i="1" s="1"/>
  <c r="L9" i="8"/>
  <c r="O9" i="8" s="1"/>
  <c r="L11" i="1"/>
  <c r="O11" i="1" s="1"/>
  <c r="O11" i="3"/>
  <c r="L329" i="7"/>
  <c r="O329" i="7" s="1"/>
  <c r="L222" i="1"/>
  <c r="O222" i="1" s="1"/>
  <c r="L310" i="15"/>
  <c r="O310" i="15" s="1"/>
  <c r="P12" i="7"/>
  <c r="M37" i="2"/>
  <c r="P292" i="1"/>
  <c r="O96" i="2"/>
  <c r="O55" i="12"/>
  <c r="L28" i="14"/>
  <c r="O28" i="14" s="1"/>
  <c r="M41" i="7"/>
  <c r="P41" i="7" s="1"/>
  <c r="M118" i="1"/>
  <c r="O273" i="4"/>
  <c r="L329" i="10"/>
  <c r="O329" i="10" s="1"/>
  <c r="P222" i="1"/>
  <c r="L28" i="12"/>
  <c r="O28" i="12" s="1"/>
  <c r="L118" i="10"/>
  <c r="O118" i="10" s="1"/>
  <c r="N8" i="16"/>
  <c r="O222" i="7"/>
  <c r="N18" i="9"/>
  <c r="P18" i="9" s="1"/>
  <c r="O142" i="5"/>
  <c r="N37" i="16"/>
  <c r="O43" i="2"/>
  <c r="L9" i="14"/>
  <c r="O9" i="14" s="1"/>
  <c r="L66" i="11"/>
  <c r="O66" i="11" s="1"/>
  <c r="L290" i="8"/>
  <c r="O290" i="8" s="1"/>
  <c r="O22" i="14"/>
  <c r="O16" i="1"/>
  <c r="N20" i="1"/>
  <c r="N18" i="1" s="1"/>
  <c r="M10" i="15"/>
  <c r="P10" i="15" s="1"/>
  <c r="O220" i="4"/>
  <c r="P18" i="18"/>
  <c r="P22" i="1"/>
  <c r="L290" i="15"/>
  <c r="O290" i="15" s="1"/>
  <c r="L292" i="1"/>
  <c r="O292" i="1" s="1"/>
  <c r="N37" i="4"/>
  <c r="O20" i="18"/>
  <c r="P53" i="16"/>
  <c r="O18" i="18"/>
  <c r="O26" i="1"/>
  <c r="O68" i="4"/>
  <c r="N140" i="1"/>
  <c r="L28" i="8"/>
  <c r="O28" i="8" s="1"/>
  <c r="O222" i="12"/>
  <c r="L220" i="12"/>
  <c r="O220" i="12" s="1"/>
  <c r="M37" i="18"/>
  <c r="O250" i="12"/>
  <c r="P20" i="18"/>
  <c r="N250" i="1"/>
  <c r="P20" i="15"/>
  <c r="P142" i="1"/>
  <c r="L28" i="11"/>
  <c r="O28" i="11" s="1"/>
  <c r="M310" i="1"/>
  <c r="P250" i="4"/>
  <c r="P12" i="16"/>
  <c r="L68" i="1"/>
  <c r="O68" i="1" s="1"/>
  <c r="L9" i="11"/>
  <c r="O9" i="11" s="1"/>
  <c r="N37" i="12"/>
  <c r="N10" i="18"/>
  <c r="N8" i="18" s="1"/>
  <c r="P12" i="18"/>
  <c r="O11" i="12"/>
  <c r="L9" i="12"/>
  <c r="O9" i="12" s="1"/>
  <c r="O222" i="3"/>
  <c r="L220" i="3"/>
  <c r="O220" i="3" s="1"/>
  <c r="L66" i="15"/>
  <c r="O66" i="15" s="1"/>
  <c r="O68" i="15"/>
  <c r="L28" i="6"/>
  <c r="O28" i="6" s="1"/>
  <c r="O222" i="11"/>
  <c r="L220" i="11"/>
  <c r="O220" i="11" s="1"/>
  <c r="O252" i="16"/>
  <c r="L250" i="16"/>
  <c r="O250" i="16" s="1"/>
  <c r="O220" i="8"/>
  <c r="P12" i="4"/>
  <c r="O16" i="11"/>
  <c r="O250" i="4"/>
  <c r="N30" i="1"/>
  <c r="N28" i="1" s="1"/>
  <c r="N12" i="1"/>
  <c r="N10" i="1" s="1"/>
  <c r="P96" i="6"/>
  <c r="M94" i="6"/>
  <c r="P94" i="6" s="1"/>
  <c r="P20" i="2"/>
  <c r="O53" i="14"/>
  <c r="O142" i="15"/>
  <c r="L140" i="15"/>
  <c r="O140" i="15" s="1"/>
  <c r="O222" i="17"/>
  <c r="L220" i="17"/>
  <c r="O220" i="17" s="1"/>
  <c r="O142" i="17"/>
  <c r="L140" i="17"/>
  <c r="O140" i="17" s="1"/>
  <c r="O96" i="15"/>
  <c r="L94" i="15"/>
  <c r="O94" i="15" s="1"/>
  <c r="N37" i="14"/>
  <c r="L96" i="1"/>
  <c r="O96" i="1" s="1"/>
  <c r="N8" i="2"/>
  <c r="L9" i="13"/>
  <c r="O9" i="13" s="1"/>
  <c r="O11" i="13"/>
  <c r="O142" i="13"/>
  <c r="L140" i="13"/>
  <c r="O140" i="13" s="1"/>
  <c r="P9" i="6"/>
  <c r="L9" i="10"/>
  <c r="O11" i="10"/>
  <c r="P12" i="17"/>
  <c r="M10" i="17"/>
  <c r="P10" i="17" s="1"/>
  <c r="M250" i="1"/>
  <c r="P49" i="1"/>
  <c r="M26" i="1"/>
  <c r="M43" i="1"/>
  <c r="O11" i="7"/>
  <c r="L9" i="7"/>
  <c r="P12" i="12"/>
  <c r="P41" i="14"/>
  <c r="O11" i="17"/>
  <c r="L9" i="17"/>
  <c r="P12" i="14"/>
  <c r="P118" i="5"/>
  <c r="P26" i="7"/>
  <c r="M16" i="7"/>
  <c r="M20" i="7"/>
  <c r="O331" i="17"/>
  <c r="L329" i="17"/>
  <c r="O329" i="17" s="1"/>
  <c r="N10" i="6"/>
  <c r="N8" i="6" s="1"/>
  <c r="P12" i="6"/>
  <c r="O19" i="1"/>
  <c r="O22" i="6"/>
  <c r="L20" i="6"/>
  <c r="L12" i="6"/>
  <c r="O22" i="4"/>
  <c r="L20" i="4"/>
  <c r="L12" i="4"/>
  <c r="O9" i="6"/>
  <c r="P12" i="9"/>
  <c r="P20" i="12"/>
  <c r="M18" i="12"/>
  <c r="P18" i="12" s="1"/>
  <c r="O273" i="18"/>
  <c r="L271" i="18"/>
  <c r="O271" i="18" s="1"/>
  <c r="O120" i="2"/>
  <c r="L120" i="1"/>
  <c r="O120" i="1" s="1"/>
  <c r="L118" i="2"/>
  <c r="O29" i="10"/>
  <c r="L28" i="10"/>
  <c r="O28" i="10" s="1"/>
  <c r="O252" i="18"/>
  <c r="L250" i="18"/>
  <c r="O250" i="18" s="1"/>
  <c r="L28" i="4"/>
  <c r="O28" i="4" s="1"/>
  <c r="O29" i="4"/>
  <c r="O57" i="1"/>
  <c r="L55" i="1"/>
  <c r="P26" i="4"/>
  <c r="M16" i="4"/>
  <c r="M20" i="4"/>
  <c r="M10" i="2"/>
  <c r="P10" i="2" s="1"/>
  <c r="P12" i="2"/>
  <c r="P68" i="7"/>
  <c r="M66" i="7"/>
  <c r="P66" i="7" s="1"/>
  <c r="L20" i="10"/>
  <c r="O22" i="10"/>
  <c r="L12" i="10"/>
  <c r="O273" i="15"/>
  <c r="L271" i="15"/>
  <c r="O271" i="15" s="1"/>
  <c r="O312" i="16"/>
  <c r="L310" i="16"/>
  <c r="O310" i="16" s="1"/>
  <c r="O273" i="17"/>
  <c r="L271" i="17"/>
  <c r="O271" i="17" s="1"/>
  <c r="P331" i="4"/>
  <c r="M329" i="4"/>
  <c r="P329" i="4" s="1"/>
  <c r="O43" i="6"/>
  <c r="L41" i="6"/>
  <c r="O22" i="13"/>
  <c r="L12" i="13"/>
  <c r="L20" i="13"/>
  <c r="P41" i="16"/>
  <c r="M37" i="16"/>
  <c r="P41" i="15"/>
  <c r="M37" i="15"/>
  <c r="P37" i="15" s="1"/>
  <c r="M37" i="11"/>
  <c r="O292" i="14"/>
  <c r="L290" i="14"/>
  <c r="O290" i="14" s="1"/>
  <c r="M37" i="3"/>
  <c r="P9" i="1"/>
  <c r="M18" i="2"/>
  <c r="P18" i="2" s="1"/>
  <c r="N66" i="1"/>
  <c r="N37" i="3"/>
  <c r="M331" i="1"/>
  <c r="P331" i="1" s="1"/>
  <c r="P10" i="9"/>
  <c r="P9" i="9"/>
  <c r="M8" i="9"/>
  <c r="P20" i="13"/>
  <c r="M18" i="13"/>
  <c r="P18" i="13" s="1"/>
  <c r="O96" i="18"/>
  <c r="L94" i="18"/>
  <c r="O94" i="18" s="1"/>
  <c r="P220" i="13"/>
  <c r="O312" i="10"/>
  <c r="L310" i="10"/>
  <c r="O310" i="10" s="1"/>
  <c r="O331" i="4"/>
  <c r="L329" i="4"/>
  <c r="O329" i="4" s="1"/>
  <c r="P20" i="14"/>
  <c r="M18" i="14"/>
  <c r="P18" i="14" s="1"/>
  <c r="P9" i="18"/>
  <c r="L331" i="1"/>
  <c r="O331" i="1" s="1"/>
  <c r="L271" i="11"/>
  <c r="O271" i="11" s="1"/>
  <c r="O273" i="11"/>
  <c r="O331" i="12"/>
  <c r="L329" i="12"/>
  <c r="O329" i="12" s="1"/>
  <c r="M18" i="8"/>
  <c r="P18" i="8" s="1"/>
  <c r="P290" i="18"/>
  <c r="P20" i="10"/>
  <c r="M18" i="10"/>
  <c r="P18" i="10" s="1"/>
  <c r="P9" i="10"/>
  <c r="O55" i="17"/>
  <c r="L53" i="17"/>
  <c r="O53" i="17" s="1"/>
  <c r="O9" i="18"/>
  <c r="L273" i="1"/>
  <c r="O273" i="1" s="1"/>
  <c r="P140" i="4"/>
  <c r="O22" i="11"/>
  <c r="L12" i="11"/>
  <c r="L20" i="11"/>
  <c r="O9" i="16"/>
  <c r="L9" i="9"/>
  <c r="O11" i="9"/>
  <c r="O22" i="8"/>
  <c r="L12" i="8"/>
  <c r="L20" i="8"/>
  <c r="M10" i="11"/>
  <c r="P12" i="11"/>
  <c r="O55" i="18"/>
  <c r="L53" i="18"/>
  <c r="O22" i="16"/>
  <c r="L12" i="16"/>
  <c r="L20" i="16"/>
  <c r="P41" i="5"/>
  <c r="M37" i="5"/>
  <c r="P329" i="2"/>
  <c r="P26" i="14"/>
  <c r="M16" i="14"/>
  <c r="P16" i="14" s="1"/>
  <c r="O120" i="16"/>
  <c r="L118" i="16"/>
  <c r="O118" i="16" s="1"/>
  <c r="P41" i="4"/>
  <c r="P20" i="17"/>
  <c r="M18" i="17"/>
  <c r="P18" i="17" s="1"/>
  <c r="P9" i="8"/>
  <c r="P41" i="13"/>
  <c r="M37" i="13"/>
  <c r="P37" i="13" s="1"/>
  <c r="P96" i="12"/>
  <c r="M94" i="12"/>
  <c r="P94" i="12" s="1"/>
  <c r="L41" i="9"/>
  <c r="O43" i="9"/>
  <c r="O329" i="2"/>
  <c r="M290" i="1"/>
  <c r="O120" i="17"/>
  <c r="L118" i="17"/>
  <c r="O118" i="17" s="1"/>
  <c r="O22" i="17"/>
  <c r="L12" i="17"/>
  <c r="L20" i="17"/>
  <c r="M140" i="1"/>
  <c r="O41" i="14"/>
  <c r="O43" i="12"/>
  <c r="L41" i="12"/>
  <c r="M10" i="16"/>
  <c r="N271" i="1"/>
  <c r="N290" i="1"/>
  <c r="O271" i="4"/>
  <c r="O11" i="5"/>
  <c r="L9" i="5"/>
  <c r="L20" i="9"/>
  <c r="O22" i="9"/>
  <c r="L12" i="9"/>
  <c r="O252" i="11"/>
  <c r="L250" i="11"/>
  <c r="O250" i="11" s="1"/>
  <c r="L142" i="1"/>
  <c r="O142" i="1" s="1"/>
  <c r="O29" i="9"/>
  <c r="L28" i="9"/>
  <c r="O28" i="9" s="1"/>
  <c r="O290" i="2"/>
  <c r="P9" i="4"/>
  <c r="O55" i="8"/>
  <c r="L53" i="8"/>
  <c r="O96" i="17"/>
  <c r="L94" i="17"/>
  <c r="O94" i="17" s="1"/>
  <c r="P9" i="2"/>
  <c r="P96" i="14"/>
  <c r="M94" i="14"/>
  <c r="P94" i="14" s="1"/>
  <c r="P41" i="17"/>
  <c r="M37" i="17"/>
  <c r="O30" i="3"/>
  <c r="L28" i="3"/>
  <c r="O28" i="3" s="1"/>
  <c r="O273" i="16"/>
  <c r="L271" i="16"/>
  <c r="O271" i="16" s="1"/>
  <c r="O43" i="17"/>
  <c r="L41" i="17"/>
  <c r="L30" i="1"/>
  <c r="O32" i="1"/>
  <c r="P20" i="11"/>
  <c r="M18" i="11"/>
  <c r="P18" i="11" s="1"/>
  <c r="M96" i="1"/>
  <c r="P96" i="1" s="1"/>
  <c r="P271" i="12"/>
  <c r="O271" i="12"/>
  <c r="M18" i="16"/>
  <c r="P18" i="16" s="1"/>
  <c r="P20" i="16"/>
  <c r="O68" i="18"/>
  <c r="L66" i="18"/>
  <c r="O66" i="18" s="1"/>
  <c r="M10" i="8"/>
  <c r="P10" i="8" s="1"/>
  <c r="P12" i="8"/>
  <c r="O34" i="1"/>
  <c r="L14" i="1"/>
  <c r="O14" i="1" s="1"/>
  <c r="O9" i="2"/>
  <c r="O29" i="18"/>
  <c r="L28" i="18"/>
  <c r="O28" i="18" s="1"/>
  <c r="P12" i="3"/>
  <c r="M10" i="3"/>
  <c r="P120" i="1"/>
  <c r="M20" i="6"/>
  <c r="P26" i="6"/>
  <c r="M16" i="6"/>
  <c r="P9" i="15"/>
  <c r="O68" i="17"/>
  <c r="L66" i="17"/>
  <c r="O66" i="17" s="1"/>
  <c r="N220" i="1"/>
  <c r="P273" i="1"/>
  <c r="M10" i="5"/>
  <c r="P10" i="5" s="1"/>
  <c r="P12" i="5"/>
  <c r="O29" i="5"/>
  <c r="L28" i="5"/>
  <c r="O28" i="5" s="1"/>
  <c r="P9" i="13"/>
  <c r="O20" i="14"/>
  <c r="L18" i="14"/>
  <c r="O18" i="14" s="1"/>
  <c r="L41" i="16"/>
  <c r="O43" i="16"/>
  <c r="L22" i="1"/>
  <c r="O45" i="1"/>
  <c r="L43" i="1"/>
  <c r="N37" i="5"/>
  <c r="O9" i="3"/>
  <c r="M37" i="10"/>
  <c r="P12" i="15"/>
  <c r="O55" i="3"/>
  <c r="L53" i="3"/>
  <c r="O53" i="3" s="1"/>
  <c r="O9" i="4"/>
  <c r="P9" i="17"/>
  <c r="O222" i="14"/>
  <c r="L220" i="14"/>
  <c r="O220" i="14" s="1"/>
  <c r="L28" i="16"/>
  <c r="O28" i="16" s="1"/>
  <c r="O290" i="18"/>
  <c r="L20" i="12"/>
  <c r="O22" i="12"/>
  <c r="L12" i="12"/>
  <c r="O312" i="2"/>
  <c r="L312" i="1"/>
  <c r="O312" i="1" s="1"/>
  <c r="L310" i="2"/>
  <c r="P9" i="5"/>
  <c r="O68" i="8"/>
  <c r="L66" i="8"/>
  <c r="O66" i="8" s="1"/>
  <c r="M37" i="9"/>
  <c r="P37" i="9" s="1"/>
  <c r="L9" i="15"/>
  <c r="O11" i="15"/>
  <c r="O96" i="7"/>
  <c r="L94" i="7"/>
  <c r="P9" i="12"/>
  <c r="M18" i="15"/>
  <c r="P18" i="15" s="1"/>
  <c r="P220" i="8"/>
  <c r="O33" i="1"/>
  <c r="L13" i="1"/>
  <c r="O13" i="1" s="1"/>
  <c r="N10" i="11"/>
  <c r="N8" i="11" s="1"/>
  <c r="P16" i="11"/>
  <c r="O22" i="15"/>
  <c r="L12" i="15"/>
  <c r="L20" i="15"/>
  <c r="L41" i="4"/>
  <c r="O43" i="4"/>
  <c r="O142" i="18"/>
  <c r="L140" i="18"/>
  <c r="O140" i="18" s="1"/>
  <c r="O220" i="13"/>
  <c r="O252" i="17"/>
  <c r="L250" i="17"/>
  <c r="O250" i="17" s="1"/>
  <c r="L20" i="3"/>
  <c r="O22" i="3"/>
  <c r="L12" i="3"/>
  <c r="O29" i="1"/>
  <c r="P41" i="12"/>
  <c r="O22" i="2"/>
  <c r="L12" i="2"/>
  <c r="L20" i="2"/>
  <c r="P9" i="14"/>
  <c r="P16" i="18"/>
  <c r="M10" i="18"/>
  <c r="O41" i="2"/>
  <c r="P220" i="2"/>
  <c r="M220" i="1"/>
  <c r="O22" i="7"/>
  <c r="L12" i="7"/>
  <c r="L20" i="7"/>
  <c r="O29" i="7"/>
  <c r="L28" i="7"/>
  <c r="O28" i="7" s="1"/>
  <c r="O29" i="17"/>
  <c r="L28" i="17"/>
  <c r="O28" i="17" s="1"/>
  <c r="P20" i="3"/>
  <c r="M18" i="3"/>
  <c r="P18" i="3" s="1"/>
  <c r="L41" i="10"/>
  <c r="O43" i="10"/>
  <c r="O29" i="15"/>
  <c r="L28" i="15"/>
  <c r="O28" i="15" s="1"/>
  <c r="O312" i="3"/>
  <c r="L310" i="3"/>
  <c r="O310" i="3" s="1"/>
  <c r="P20" i="5"/>
  <c r="M18" i="5"/>
  <c r="P18" i="5" s="1"/>
  <c r="M271" i="1"/>
  <c r="O43" i="13"/>
  <c r="L41" i="13"/>
  <c r="O222" i="15"/>
  <c r="L220" i="15"/>
  <c r="L252" i="1"/>
  <c r="O252" i="1" s="1"/>
  <c r="O43" i="3"/>
  <c r="L41" i="3"/>
  <c r="N94" i="1"/>
  <c r="N37" i="2"/>
  <c r="P41" i="8"/>
  <c r="M37" i="8"/>
  <c r="P37" i="8" s="1"/>
  <c r="P12" i="13"/>
  <c r="M10" i="13"/>
  <c r="P10" i="13" s="1"/>
  <c r="M329" i="1" l="1"/>
  <c r="P329" i="1" s="1"/>
  <c r="P118" i="1"/>
  <c r="P10" i="12"/>
  <c r="O12" i="14"/>
  <c r="P37" i="10"/>
  <c r="P37" i="11"/>
  <c r="P310" i="1"/>
  <c r="L9" i="1"/>
  <c r="O9" i="1" s="1"/>
  <c r="P37" i="2"/>
  <c r="P8" i="9"/>
  <c r="N8" i="1"/>
  <c r="M8" i="15"/>
  <c r="P8" i="15" s="1"/>
  <c r="P37" i="16"/>
  <c r="L10" i="5"/>
  <c r="O10" i="5" s="1"/>
  <c r="O20" i="5"/>
  <c r="P10" i="18"/>
  <c r="L37" i="7"/>
  <c r="O37" i="7" s="1"/>
  <c r="L10" i="18"/>
  <c r="O10" i="18" s="1"/>
  <c r="P8" i="12"/>
  <c r="P37" i="17"/>
  <c r="L37" i="5"/>
  <c r="O37" i="5" s="1"/>
  <c r="M10" i="10"/>
  <c r="P10" i="10" s="1"/>
  <c r="P37" i="18"/>
  <c r="O30" i="1"/>
  <c r="P220" i="1"/>
  <c r="P140" i="1"/>
  <c r="P250" i="1"/>
  <c r="M37" i="6"/>
  <c r="P37" i="6" s="1"/>
  <c r="M66" i="1"/>
  <c r="P66" i="1" s="1"/>
  <c r="M37" i="7"/>
  <c r="P37" i="7" s="1"/>
  <c r="L140" i="1"/>
  <c r="O140" i="1" s="1"/>
  <c r="M37" i="12"/>
  <c r="P37" i="12" s="1"/>
  <c r="L290" i="1"/>
  <c r="O290" i="1" s="1"/>
  <c r="P271" i="1"/>
  <c r="L271" i="1"/>
  <c r="O271" i="1" s="1"/>
  <c r="L37" i="2"/>
  <c r="O37" i="2" s="1"/>
  <c r="M8" i="17"/>
  <c r="P8" i="17" s="1"/>
  <c r="L28" i="1"/>
  <c r="O28" i="1" s="1"/>
  <c r="M37" i="4"/>
  <c r="P37" i="4" s="1"/>
  <c r="P12" i="1"/>
  <c r="M8" i="2"/>
  <c r="P8" i="2" s="1"/>
  <c r="P37" i="3"/>
  <c r="L329" i="1"/>
  <c r="O329" i="1" s="1"/>
  <c r="M8" i="8"/>
  <c r="P8" i="8" s="1"/>
  <c r="L66" i="1"/>
  <c r="O66" i="1" s="1"/>
  <c r="O41" i="3"/>
  <c r="L37" i="3"/>
  <c r="O37" i="3" s="1"/>
  <c r="L10" i="15"/>
  <c r="O10" i="15" s="1"/>
  <c r="O12" i="15"/>
  <c r="O12" i="6"/>
  <c r="L10" i="6"/>
  <c r="O20" i="2"/>
  <c r="L18" i="2"/>
  <c r="O18" i="2" s="1"/>
  <c r="O94" i="7"/>
  <c r="L94" i="1"/>
  <c r="O94" i="1" s="1"/>
  <c r="O12" i="9"/>
  <c r="L10" i="9"/>
  <c r="O10" i="9" s="1"/>
  <c r="P10" i="16"/>
  <c r="M8" i="16"/>
  <c r="P8" i="16" s="1"/>
  <c r="O20" i="13"/>
  <c r="L18" i="13"/>
  <c r="O18" i="13" s="1"/>
  <c r="O55" i="1"/>
  <c r="L53" i="1"/>
  <c r="O53" i="1" s="1"/>
  <c r="O118" i="2"/>
  <c r="L118" i="1"/>
  <c r="O118" i="1" s="1"/>
  <c r="O20" i="6"/>
  <c r="L18" i="6"/>
  <c r="O18" i="6" s="1"/>
  <c r="O20" i="10"/>
  <c r="L18" i="10"/>
  <c r="O18" i="10" s="1"/>
  <c r="O9" i="10"/>
  <c r="L10" i="2"/>
  <c r="O12" i="2"/>
  <c r="L12" i="1"/>
  <c r="L20" i="1"/>
  <c r="O22" i="1"/>
  <c r="M8" i="13"/>
  <c r="P8" i="13" s="1"/>
  <c r="P10" i="3"/>
  <c r="M8" i="3"/>
  <c r="P8" i="3" s="1"/>
  <c r="O41" i="12"/>
  <c r="L37" i="12"/>
  <c r="O37" i="12" s="1"/>
  <c r="O41" i="9"/>
  <c r="L37" i="9"/>
  <c r="O37" i="9" s="1"/>
  <c r="O9" i="9"/>
  <c r="O12" i="13"/>
  <c r="L10" i="13"/>
  <c r="P20" i="7"/>
  <c r="M18" i="7"/>
  <c r="P18" i="7" s="1"/>
  <c r="M37" i="14"/>
  <c r="P37" i="14" s="1"/>
  <c r="P16" i="4"/>
  <c r="M10" i="4"/>
  <c r="O43" i="1"/>
  <c r="L41" i="1"/>
  <c r="P20" i="6"/>
  <c r="M18" i="6"/>
  <c r="P18" i="6" s="1"/>
  <c r="O20" i="7"/>
  <c r="L18" i="7"/>
  <c r="O18" i="7" s="1"/>
  <c r="O20" i="9"/>
  <c r="L18" i="9"/>
  <c r="O18" i="9" s="1"/>
  <c r="P37" i="5"/>
  <c r="P10" i="11"/>
  <c r="M8" i="11"/>
  <c r="P8" i="11" s="1"/>
  <c r="M8" i="18"/>
  <c r="P8" i="18" s="1"/>
  <c r="P16" i="7"/>
  <c r="M10" i="7"/>
  <c r="L250" i="1"/>
  <c r="O250" i="1" s="1"/>
  <c r="O53" i="18"/>
  <c r="L37" i="18"/>
  <c r="O37" i="18" s="1"/>
  <c r="O41" i="10"/>
  <c r="L37" i="10"/>
  <c r="O37" i="10" s="1"/>
  <c r="O310" i="2"/>
  <c r="L310" i="1"/>
  <c r="O310" i="1" s="1"/>
  <c r="O41" i="13"/>
  <c r="L37" i="13"/>
  <c r="O37" i="13" s="1"/>
  <c r="L10" i="7"/>
  <c r="O10" i="7" s="1"/>
  <c r="O12" i="7"/>
  <c r="L220" i="1"/>
  <c r="O220" i="1" s="1"/>
  <c r="O12" i="3"/>
  <c r="L10" i="3"/>
  <c r="O9" i="15"/>
  <c r="L8" i="14"/>
  <c r="O8" i="14" s="1"/>
  <c r="O41" i="16"/>
  <c r="L37" i="16"/>
  <c r="O37" i="16" s="1"/>
  <c r="O9" i="5"/>
  <c r="L37" i="14"/>
  <c r="O37" i="14" s="1"/>
  <c r="P290" i="1"/>
  <c r="O20" i="8"/>
  <c r="L18" i="8"/>
  <c r="O18" i="8" s="1"/>
  <c r="O41" i="6"/>
  <c r="L37" i="6"/>
  <c r="O37" i="6" s="1"/>
  <c r="O12" i="4"/>
  <c r="L10" i="4"/>
  <c r="O20" i="12"/>
  <c r="L18" i="12"/>
  <c r="O18" i="12" s="1"/>
  <c r="P43" i="1"/>
  <c r="M41" i="1"/>
  <c r="M8" i="5"/>
  <c r="P8" i="5" s="1"/>
  <c r="O12" i="17"/>
  <c r="L10" i="17"/>
  <c r="O10" i="17" s="1"/>
  <c r="O9" i="17"/>
  <c r="O41" i="4"/>
  <c r="L37" i="4"/>
  <c r="O37" i="4" s="1"/>
  <c r="O12" i="12"/>
  <c r="L10" i="12"/>
  <c r="L37" i="11"/>
  <c r="O37" i="11" s="1"/>
  <c r="O20" i="16"/>
  <c r="L18" i="16"/>
  <c r="O18" i="16" s="1"/>
  <c r="O12" i="8"/>
  <c r="L10" i="8"/>
  <c r="O20" i="11"/>
  <c r="L18" i="11"/>
  <c r="O18" i="11" s="1"/>
  <c r="N37" i="1"/>
  <c r="O20" i="4"/>
  <c r="L18" i="4"/>
  <c r="O18" i="4" s="1"/>
  <c r="O9" i="7"/>
  <c r="O20" i="17"/>
  <c r="L18" i="17"/>
  <c r="O18" i="17" s="1"/>
  <c r="M10" i="14"/>
  <c r="O41" i="17"/>
  <c r="L37" i="17"/>
  <c r="O37" i="17" s="1"/>
  <c r="M16" i="1"/>
  <c r="P26" i="1"/>
  <c r="M20" i="1"/>
  <c r="O220" i="15"/>
  <c r="L37" i="15"/>
  <c r="O37" i="15" s="1"/>
  <c r="O20" i="3"/>
  <c r="L18" i="3"/>
  <c r="O18" i="3" s="1"/>
  <c r="O20" i="15"/>
  <c r="L18" i="15"/>
  <c r="O18" i="15" s="1"/>
  <c r="M94" i="1"/>
  <c r="P94" i="1" s="1"/>
  <c r="P16" i="6"/>
  <c r="M10" i="6"/>
  <c r="O53" i="8"/>
  <c r="L37" i="8"/>
  <c r="O37" i="8" s="1"/>
  <c r="O12" i="16"/>
  <c r="L10" i="16"/>
  <c r="L10" i="11"/>
  <c r="O12" i="11"/>
  <c r="O12" i="10"/>
  <c r="L10" i="10"/>
  <c r="O10" i="10" s="1"/>
  <c r="P20" i="4"/>
  <c r="M18" i="4"/>
  <c r="P18" i="4" s="1"/>
  <c r="L8" i="5" l="1"/>
  <c r="O8" i="5" s="1"/>
  <c r="L8" i="18"/>
  <c r="O8" i="18" s="1"/>
  <c r="M8" i="10"/>
  <c r="P8" i="10" s="1"/>
  <c r="L8" i="15"/>
  <c r="O8" i="15" s="1"/>
  <c r="L8" i="9"/>
  <c r="O8" i="9" s="1"/>
  <c r="L8" i="7"/>
  <c r="O8" i="7" s="1"/>
  <c r="P20" i="1"/>
  <c r="M18" i="1"/>
  <c r="P18" i="1" s="1"/>
  <c r="L8" i="17"/>
  <c r="O8" i="17" s="1"/>
  <c r="O10" i="3"/>
  <c r="L8" i="3"/>
  <c r="O8" i="3" s="1"/>
  <c r="P10" i="6"/>
  <c r="M8" i="6"/>
  <c r="P8" i="6" s="1"/>
  <c r="O10" i="4"/>
  <c r="L8" i="4"/>
  <c r="O8" i="4" s="1"/>
  <c r="O20" i="1"/>
  <c r="L18" i="1"/>
  <c r="O18" i="1" s="1"/>
  <c r="O10" i="6"/>
  <c r="L8" i="6"/>
  <c r="O8" i="6" s="1"/>
  <c r="O10" i="11"/>
  <c r="L8" i="11"/>
  <c r="O8" i="11" s="1"/>
  <c r="P16" i="1"/>
  <c r="M10" i="1"/>
  <c r="L10" i="1"/>
  <c r="O12" i="1"/>
  <c r="O10" i="8"/>
  <c r="L8" i="8"/>
  <c r="O8" i="8" s="1"/>
  <c r="O10" i="13"/>
  <c r="L8" i="13"/>
  <c r="O8" i="13" s="1"/>
  <c r="O10" i="16"/>
  <c r="L8" i="16"/>
  <c r="O8" i="16" s="1"/>
  <c r="O10" i="12"/>
  <c r="L8" i="12"/>
  <c r="O8" i="12" s="1"/>
  <c r="O41" i="1"/>
  <c r="L37" i="1"/>
  <c r="O37" i="1" s="1"/>
  <c r="O10" i="2"/>
  <c r="L8" i="2"/>
  <c r="O8" i="2" s="1"/>
  <c r="P10" i="14"/>
  <c r="M8" i="14"/>
  <c r="P8" i="14" s="1"/>
  <c r="L8" i="10"/>
  <c r="O8" i="10" s="1"/>
  <c r="P41" i="1"/>
  <c r="M37" i="1"/>
  <c r="P37" i="1" s="1"/>
  <c r="P10" i="7"/>
  <c r="M8" i="7"/>
  <c r="P8" i="7" s="1"/>
  <c r="P10" i="4"/>
  <c r="M8" i="4"/>
  <c r="P8" i="4" s="1"/>
  <c r="O10" i="1" l="1"/>
  <c r="L8" i="1"/>
  <c r="O8" i="1" s="1"/>
  <c r="P10" i="1"/>
  <c r="M8" i="1"/>
  <c r="P8" i="1" s="1"/>
</calcChain>
</file>

<file path=xl/sharedStrings.xml><?xml version="1.0" encoding="utf-8"?>
<sst xmlns="http://schemas.openxmlformats.org/spreadsheetml/2006/main" count="22500" uniqueCount="273">
  <si>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</si>
  <si>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</si>
  <si>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</si>
  <si>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</si>
  <si>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</si>
  <si>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</si>
  <si>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</si>
  <si>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</si>
  <si>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</si>
  <si>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</si>
  <si>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</si>
  <si>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</si>
  <si>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</si>
  <si>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</si>
  <si>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</si>
  <si>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</si>
  <si>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</si>
  <si>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</si>
  <si>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</si>
  <si>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</si>
  <si>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</si>
  <si>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</si>
  <si>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</si>
  <si>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</si>
  <si>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</si>
  <si>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</si>
  <si>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</si>
  <si>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</si>
  <si>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</si>
  <si>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</si>
  <si>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</si>
  <si>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</si>
  <si>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</si>
  <si>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</si>
  <si>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</si>
  <si>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</si>
  <si>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</si>
  <si>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</si>
  <si>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</si>
  <si>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</si>
  <si>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</si>
  <si>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</si>
  <si>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</si>
  <si>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</si>
  <si>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</si>
  <si>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</si>
  <si>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</si>
  <si>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</si>
  <si>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</si>
  <si>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</si>
  <si>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</si>
  <si>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</si>
  <si>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</si>
  <si>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</si>
  <si>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</si>
  <si>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</si>
  <si>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</si>
  <si>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</si>
  <si>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</si>
  <si>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</si>
  <si>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</si>
  <si>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</si>
  <si>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</si>
  <si>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</si>
  <si>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</si>
  <si>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</si>
  <si>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</si>
  <si>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</si>
  <si>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</si>
  <si>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</si>
  <si>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</si>
  <si>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</si>
  <si>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</si>
  <si>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</si>
  <si>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</si>
  <si>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</si>
  <si>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</si>
  <si>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</si>
  <si>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</si>
  <si>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</si>
  <si>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</si>
  <si>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</si>
  <si>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</si>
  <si>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</si>
  <si>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</si>
  <si>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</si>
  <si>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</si>
  <si>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</si>
  <si>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</si>
  <si>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</si>
  <si>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</si>
  <si>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</si>
  <si>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</si>
  <si>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</si>
  <si>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</si>
  <si>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</si>
  <si>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</si>
  <si>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</si>
  <si>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</si>
  <si>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</si>
  <si>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</si>
  <si>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</si>
  <si>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</si>
  <si>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</si>
  <si>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</si>
  <si>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</si>
  <si>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</si>
  <si>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</si>
  <si>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</si>
  <si>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</si>
  <si>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</si>
  <si>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</si>
  <si>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</si>
  <si>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</si>
  <si>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</si>
  <si>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</si>
  <si>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</si>
  <si>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</si>
  <si>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</si>
  <si>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</si>
  <si>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</si>
  <si>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</si>
  <si>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</si>
  <si>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</si>
  <si>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</si>
  <si>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</si>
  <si>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</si>
  <si>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</si>
  <si>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</si>
  <si>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</si>
  <si>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</si>
  <si>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</si>
  <si>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</si>
  <si>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</si>
  <si>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</si>
  <si>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</si>
  <si>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</si>
  <si>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</si>
  <si>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</si>
  <si>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</si>
  <si>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</si>
  <si>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</si>
  <si>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</si>
  <si>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</si>
  <si>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</si>
  <si>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</si>
  <si>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</si>
  <si>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</si>
  <si>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</si>
  <si>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</si>
  <si>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</si>
  <si>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</si>
  <si>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</si>
  <si>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</si>
  <si>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</si>
  <si>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</si>
  <si>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</si>
  <si>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</si>
  <si>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</si>
  <si>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</si>
  <si>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</si>
  <si>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</si>
  <si>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</si>
  <si>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</si>
  <si>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</si>
  <si>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</si>
  <si>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</si>
  <si>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</si>
  <si>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</si>
  <si>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</si>
  <si>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</si>
  <si>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</si>
  <si>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</si>
  <si>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</si>
  <si>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</si>
  <si>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</si>
  <si>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</si>
  <si>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</si>
  <si>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</si>
  <si>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</si>
  <si>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</si>
  <si>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</si>
  <si>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</si>
  <si>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</si>
  <si>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</si>
  <si>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</si>
  <si>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</si>
  <si>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</si>
  <si>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</si>
  <si>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</si>
  <si>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</si>
  <si>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</si>
  <si>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</si>
  <si>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</si>
  <si>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</si>
  <si>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</si>
  <si>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</si>
  <si>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</si>
  <si>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</si>
  <si>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</si>
  <si>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</si>
  <si>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</si>
  <si>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</si>
  <si>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</si>
  <si>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</si>
  <si>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</si>
  <si>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</si>
  <si>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</si>
  <si>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</si>
  <si>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</si>
  <si>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</si>
  <si>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</si>
  <si>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</si>
  <si>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</si>
  <si>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</si>
  <si>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</si>
  <si>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</si>
  <si>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</si>
  <si>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</si>
  <si>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</si>
  <si>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</si>
  <si>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</si>
  <si>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</si>
  <si>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</si>
  <si>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</si>
  <si>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</si>
  <si>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</si>
  <si>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</si>
  <si>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</si>
  <si>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</si>
  <si>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</si>
  <si>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</si>
  <si>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</si>
  <si>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</si>
  <si>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</si>
  <si>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</si>
  <si>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</si>
  <si>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</si>
  <si>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</si>
  <si>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</si>
  <si>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</si>
  <si>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</si>
  <si>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</si>
  <si>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</si>
  <si>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</si>
  <si>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</si>
  <si>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</si>
  <si>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</si>
  <si>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</si>
  <si>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</si>
  <si>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</si>
  <si>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</si>
  <si>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</si>
  <si>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</si>
  <si>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</si>
  <si>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</si>
  <si>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</si>
  <si>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</si>
  <si>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</si>
  <si>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</si>
  <si>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</si>
  <si>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</si>
  <si>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</si>
  <si>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</si>
  <si>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</si>
  <si>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</si>
  <si>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</si>
  <si>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</si>
  <si>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</si>
  <si>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</si>
  <si>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</si>
  <si>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</si>
  <si>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17 เมษายน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</si>
</sst>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17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41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192" fontId="2" fillId="4" borderId="19" xfId="0" applyNumberFormat="1" applyFont="1" applyFill="1" applyBorder="1" applyAlignment="1">
      <alignment horizontal="right" vertical="center" wrapText="1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6.7265625" bestFit="1" customWidth="1"/>
    <col min="10" max="10" width="15.36328125" bestFit="1" customWidth="1"/>
    <col min="11" max="11" width="10.26953125" bestFit="1" customWidth="1"/>
    <col min="12" max="12" width="20.7265625" bestFit="1" customWidth="1"/>
    <col min="13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1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119554972.81</v>
      </c>
      <c r="M8" s="23">
        <f t="shared" ca="1" si="0"/>
        <v>67249225.200000003</v>
      </c>
      <c r="N8" s="23">
        <f t="shared" ca="1" si="0"/>
        <v>59079415.660000004</v>
      </c>
      <c r="O8" s="22">
        <f t="shared" ref="O8:O16" ca="1" si="1">IF(L8&gt;0,N8*100/L8,0)</f>
        <v>49.416108984350323</v>
      </c>
      <c r="P8" s="22">
        <f t="shared" ref="P8:P16" ca="1" si="2">IF(M8&gt;0,N8*100/M8,0)</f>
        <v>87.851444361324766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119554972.81</v>
      </c>
      <c r="M10" s="30">
        <f t="shared" ca="1" si="4"/>
        <v>67249225.200000003</v>
      </c>
      <c r="N10" s="30">
        <f t="shared" ca="1" si="4"/>
        <v>59079415.660000004</v>
      </c>
      <c r="O10" s="29">
        <f t="shared" ca="1" si="1"/>
        <v>49.416108984350323</v>
      </c>
      <c r="P10" s="29">
        <f t="shared" ca="1" si="2"/>
        <v>87.851444361324766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98315223.109999999</v>
      </c>
      <c r="M12" s="39">
        <f t="shared" ca="1" si="6"/>
        <v>46009475.5</v>
      </c>
      <c r="N12" s="39">
        <f t="shared" ca="1" si="6"/>
        <v>44757196.720000006</v>
      </c>
      <c r="O12" s="39">
        <f t="shared" ca="1" si="1"/>
        <v>45.524177542600313</v>
      </c>
      <c r="P12" s="39">
        <f t="shared" ca="1" si="2"/>
        <v>97.278215484112636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35134700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63180523.109999999</v>
      </c>
      <c r="M14" s="39">
        <f t="shared" si="8"/>
        <v>0</v>
      </c>
      <c r="N14" s="39">
        <f t="shared" ca="1" si="8"/>
        <v>13021685.859999998</v>
      </c>
      <c r="O14" s="39">
        <f t="shared" ca="1" si="1"/>
        <v>20.610284972361949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21239749.699999999</v>
      </c>
      <c r="M16" s="39">
        <f t="shared" ca="1" si="10"/>
        <v>21239749.699999999</v>
      </c>
      <c r="N16" s="39">
        <f t="shared" ca="1" si="10"/>
        <v>14322218.939999999</v>
      </c>
      <c r="O16" s="50">
        <f t="shared" ca="1" si="1"/>
        <v>67.431203956231187</v>
      </c>
      <c r="P16" s="50">
        <f t="shared" ca="1" si="2"/>
        <v>67.431203956231187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79499589.700000003</v>
      </c>
      <c r="M18" s="23">
        <f t="shared" ca="1" si="11"/>
        <v>67249225.200000003</v>
      </c>
      <c r="N18" s="23">
        <f t="shared" ca="1" si="11"/>
        <v>46057729.800000004</v>
      </c>
      <c r="O18" s="22">
        <f t="shared" ref="O18:O26" ca="1" si="12">IF(L18&gt;0,N18*100/L18,0)</f>
        <v>57.93455032133329</v>
      </c>
      <c r="P18" s="22">
        <f t="shared" ref="P18:P26" ca="1" si="13">IF(M18&gt;0,N18*100/M18,0)</f>
        <v>68.488119622231721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79499589.700000003</v>
      </c>
      <c r="M20" s="30">
        <f t="shared" ca="1" si="15"/>
        <v>67249225.200000003</v>
      </c>
      <c r="N20" s="30">
        <f t="shared" ca="1" si="15"/>
        <v>46057729.800000004</v>
      </c>
      <c r="O20" s="29">
        <f t="shared" ca="1" si="12"/>
        <v>57.93455032133329</v>
      </c>
      <c r="P20" s="29">
        <f t="shared" ca="1" si="13"/>
        <v>68.488119622231721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58259840</v>
      </c>
      <c r="M22" s="42">
        <f t="shared" ca="1" si="17"/>
        <v>46009475.5</v>
      </c>
      <c r="N22" s="39">
        <f t="shared" ca="1" si="17"/>
        <v>31735510.860000007</v>
      </c>
      <c r="O22" s="39">
        <f t="shared" ca="1" si="12"/>
        <v>54.472361853379624</v>
      </c>
      <c r="P22" s="39">
        <f t="shared" ca="1" si="13"/>
        <v>68.976032687005969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35134700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23125140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21239749.699999999</v>
      </c>
      <c r="M26" s="50">
        <f t="shared" ca="1" si="21"/>
        <v>21239749.699999999</v>
      </c>
      <c r="N26" s="50">
        <f t="shared" ca="1" si="21"/>
        <v>14322218.939999999</v>
      </c>
      <c r="O26" s="50">
        <f t="shared" ca="1" si="12"/>
        <v>67.431203956231187</v>
      </c>
      <c r="P26" s="50">
        <f t="shared" ca="1" si="13"/>
        <v>67.431203956231187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2">L29+L30</f>
        <v>40055383.109999999</v>
      </c>
      <c r="M28" s="23">
        <f t="shared" si="22"/>
        <v>0</v>
      </c>
      <c r="N28" s="23">
        <f t="shared" ca="1" si="22"/>
        <v>13021685.859999998</v>
      </c>
      <c r="O28" s="22">
        <f t="shared" ref="O28:O30" ca="1" si="23">IF(L28&gt;0,N28*100/L28,0)</f>
        <v>32.509203130675033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40055383.109999999</v>
      </c>
      <c r="M30" s="30">
        <f t="shared" si="26"/>
        <v>0</v>
      </c>
      <c r="N30" s="30">
        <f t="shared" ca="1" si="26"/>
        <v>13021685.859999998</v>
      </c>
      <c r="O30" s="29">
        <f t="shared" ca="1" si="23"/>
        <v>32.509203130675033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40055383.109999999</v>
      </c>
      <c r="M32" s="39">
        <f t="shared" si="29"/>
        <v>0</v>
      </c>
      <c r="N32" s="39">
        <f t="shared" ca="1" si="29"/>
        <v>13021685.859999998</v>
      </c>
      <c r="O32" s="39">
        <f t="shared" ca="1" si="28"/>
        <v>32.509203130675033</v>
      </c>
      <c r="P32" s="39">
        <f t="shared" si="24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40055383.109999999</v>
      </c>
      <c r="M34" s="39">
        <f t="shared" si="31"/>
        <v>0</v>
      </c>
      <c r="N34" s="39">
        <f t="shared" ca="1" si="31"/>
        <v>13021685.859999998</v>
      </c>
      <c r="O34" s="39">
        <f t="shared" ca="1" si="28"/>
        <v>32.509203130675033</v>
      </c>
      <c r="P34" s="39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79499589.700000003</v>
      </c>
      <c r="M37" s="55">
        <f t="shared" ca="1" si="32"/>
        <v>67249225.200000003</v>
      </c>
      <c r="N37" s="55">
        <f t="shared" ca="1" si="32"/>
        <v>46057729.799999997</v>
      </c>
      <c r="O37" s="56">
        <f t="shared" ca="1" si="28"/>
        <v>57.93455032133329</v>
      </c>
      <c r="P37" s="56">
        <f t="shared" ca="1" si="24"/>
        <v>68.488119622231721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3">L42+L43</f>
        <v>28036729.699999999</v>
      </c>
      <c r="M41" s="79">
        <f t="shared" ca="1" si="33"/>
        <v>24949583.699999999</v>
      </c>
      <c r="N41" s="79">
        <f t="shared" ca="1" si="33"/>
        <v>16349760.82</v>
      </c>
      <c r="O41" s="78">
        <f t="shared" ref="O41:O43" ca="1" si="34">IF(L41&gt;0,N41*100/L41,0)</f>
        <v>58.315506105549822</v>
      </c>
      <c r="P41" s="78">
        <f t="shared" ref="P41:P43" ca="1" si="35">IF(M41&gt;0,N41*100/M41,0)</f>
        <v>65.531196899289341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28036729.699999999</v>
      </c>
      <c r="M43" s="79">
        <f t="shared" ca="1" si="37"/>
        <v>24949583.699999999</v>
      </c>
      <c r="N43" s="79">
        <f t="shared" ca="1" si="37"/>
        <v>16349760.82</v>
      </c>
      <c r="O43" s="78">
        <f t="shared" ca="1" si="34"/>
        <v>58.315506105549822</v>
      </c>
      <c r="P43" s="78">
        <f t="shared" ca="1" si="35"/>
        <v>65.531196899289341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9679054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7879231.1200000001</v>
      </c>
      <c r="O45" s="39">
        <f ca="1">IF(L45&gt;0,N45*100/L45,0)</f>
        <v>61.719471103382368</v>
      </c>
      <c r="P45" s="39">
        <f ca="1">IF(M45&gt;0,N45*100/M45,0)</f>
        <v>81.40497118830001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15270529.699999999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15270529.699999999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8470529.6999999993</v>
      </c>
      <c r="O49" s="50">
        <f ca="1">IF(L49&gt;0,N49*100/L49,0)</f>
        <v>55.469783081591459</v>
      </c>
      <c r="P49" s="50">
        <f ca="1">IF(M49&gt;0,N49*100/M49,0)</f>
        <v>55.469783081591459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8">L54+L55</f>
        <v>8935700</v>
      </c>
      <c r="M53" s="121">
        <f t="shared" ca="1" si="38"/>
        <v>7167476.5</v>
      </c>
      <c r="N53" s="121">
        <f t="shared" ca="1" si="38"/>
        <v>5449211.7799999993</v>
      </c>
      <c r="O53" s="120">
        <f t="shared" ref="O53:O55" ca="1" si="39">IF(L53&gt;0,N53*100/L53,0)</f>
        <v>60.982483521156695</v>
      </c>
      <c r="P53" s="120">
        <f t="shared" ref="P53:P55" ca="1" si="40">IF(M53&gt;0,N53*100/M53,0)</f>
        <v>76.026922167097425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8935700</v>
      </c>
      <c r="M55" s="121">
        <f t="shared" ca="1" si="42"/>
        <v>7167476.5</v>
      </c>
      <c r="N55" s="121">
        <f t="shared" ca="1" si="42"/>
        <v>5449211.7799999993</v>
      </c>
      <c r="O55" s="120">
        <f t="shared" ca="1" si="39"/>
        <v>60.982483521156695</v>
      </c>
      <c r="P55" s="120">
        <f t="shared" ca="1" si="40"/>
        <v>76.026922167097425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7167476.5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5449211.7799999993</v>
      </c>
      <c r="O57" s="39">
        <f ca="1">IF(L57&gt;0,N57*100/L57,0)</f>
        <v>60.982483521156695</v>
      </c>
      <c r="P57" s="39">
        <f ca="1">IF(M57&gt;0,N57*100/M57,0)</f>
        <v>76.026922167097425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10891500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9888840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7005494.0199999996</v>
      </c>
      <c r="O66" s="151">
        <f t="shared" ref="O66:O68" ca="1" si="44">IF(L66&gt;0,N66*100/L66,0)</f>
        <v>64.320745719138785</v>
      </c>
      <c r="P66" s="151">
        <f t="shared" ref="P66:P68" ca="1" si="45">IF(M66&gt;0,N66*100/M66,0)</f>
        <v>70.842424591762025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10891500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9888840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7005494.0199999996</v>
      </c>
      <c r="O68" s="156">
        <f t="shared" ca="1" si="44"/>
        <v>64.320745719138785</v>
      </c>
      <c r="P68" s="156">
        <f t="shared" ca="1" si="45"/>
        <v>70.842424591762025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6164240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3396019.7800000003</v>
      </c>
      <c r="O70" s="168">
        <f ca="1">IF(L70&gt;0,N70*100/L70,0)</f>
        <v>47.38477975135693</v>
      </c>
      <c r="P70" s="168">
        <f ca="1">IF(M70&gt;0,N70*100/M70,0)</f>
        <v>55.092270579990398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3724600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3724600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3609474.24</v>
      </c>
      <c r="O74" s="50">
        <f ca="1">IF(L74&gt;0,N74*100/L74,0)</f>
        <v>96.909043655694575</v>
      </c>
      <c r="P74" s="50">
        <f ca="1">IF(M74&gt;0,N74*100/M74,0)</f>
        <v>96.909043655694575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155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0</v>
      </c>
      <c r="K88" s="163">
        <f t="shared" ca="1" si="46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38</v>
      </c>
      <c r="K92" s="143">
        <f t="shared" ref="K92:K93" ca="1" si="47">IF(I92&gt;0,J92*100/I92,0)</f>
        <v>77.551020408163268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2457980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2457980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1622159.5</v>
      </c>
      <c r="O94" s="151">
        <f t="shared" ref="O94:O96" ca="1" si="48">IF(L94&gt;0,N94*100/L94,0)</f>
        <v>65.995634626807373</v>
      </c>
      <c r="P94" s="151">
        <f t="shared" ref="P94:P96" ca="1" si="49">IF(M94&gt;0,N94*100/M94,0)</f>
        <v>65.995634626807373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2457980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2457980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1622159.5</v>
      </c>
      <c r="O96" s="156">
        <f t="shared" ca="1" si="48"/>
        <v>65.995634626807373</v>
      </c>
      <c r="P96" s="156">
        <f t="shared" ca="1" si="49"/>
        <v>65.995634626807373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1257180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423764.5</v>
      </c>
      <c r="O98" s="168">
        <f ca="1">IF(L98&gt;0,N98*100/L98,0)</f>
        <v>33.707543868022078</v>
      </c>
      <c r="P98" s="168">
        <f ca="1">IF(M98&gt;0,N98*100/M98,0)</f>
        <v>33.707543868022078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1200800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1200800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99.799716855429708</v>
      </c>
      <c r="P102" s="50">
        <f ca="1">IF(M102&gt;0,N102*100/M102,0)</f>
        <v>99.799716855429708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9</v>
      </c>
      <c r="K108" s="223">
        <f t="shared" ref="K108:K113" ca="1" si="50">IF(I108&gt;0,J108*100/I108,0)</f>
        <v>90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38</v>
      </c>
      <c r="K109" s="223">
        <f t="shared" ca="1" si="50"/>
        <v>77.551020408163268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3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38</v>
      </c>
      <c r="K111" s="223">
        <f t="shared" ca="1" si="50"/>
        <v>77.551020408163268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42</v>
      </c>
      <c r="K112" s="223">
        <f t="shared" ca="1" si="50"/>
        <v>85.714285714285708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3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824400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557748.6</v>
      </c>
      <c r="O118" s="151">
        <f t="shared" ref="O118:O120" ca="1" si="51">IF(L118&gt;0,N118*100/L118,0)</f>
        <v>67.655094614264925</v>
      </c>
      <c r="P118" s="151">
        <f t="shared" ref="P118:P120" ca="1" si="52">IF(M118&gt;0,N118*100/M118,0)</f>
        <v>67.655094614264925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824400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557748.6</v>
      </c>
      <c r="O120" s="156">
        <f t="shared" ca="1" si="51"/>
        <v>67.655094614264925</v>
      </c>
      <c r="P120" s="156">
        <f t="shared" ca="1" si="52"/>
        <v>67.655094614264925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824400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557748.6</v>
      </c>
      <c r="O122" s="168">
        <f ca="1">IF(L122&gt;0,N122*100/L122,0)</f>
        <v>67.655094614264925</v>
      </c>
      <c r="P122" s="168">
        <f ca="1">IF(M122&gt;0,N122*100/M122,0)</f>
        <v>67.655094614264925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68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9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3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3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6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4758825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3280447.5100000002</v>
      </c>
      <c r="O140" s="151">
        <f t="shared" ref="O140:O142" ca="1" si="54">IF(L140&gt;0,N140*100/L140,0)</f>
        <v>55.751997110808972</v>
      </c>
      <c r="P140" s="151">
        <f t="shared" ref="P140:P142" ca="1" si="55">IF(M140&gt;0,N140*100/M140,0)</f>
        <v>68.933980762057857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4758825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3280447.5100000002</v>
      </c>
      <c r="O142" s="156">
        <f t="shared" ca="1" si="54"/>
        <v>55.751997110808972</v>
      </c>
      <c r="P142" s="156">
        <f t="shared" ca="1" si="55"/>
        <v>68.933980762057857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4520825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3042447.5100000002</v>
      </c>
      <c r="O144" s="168">
        <f ca="1">IF(L144&gt;0,N144*100/L144,0)</f>
        <v>53.886778427205101</v>
      </c>
      <c r="P144" s="168">
        <f ca="1">IF(M144&gt;0,N144*100/M144,0)</f>
        <v>67.298502153921021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4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32</v>
      </c>
      <c r="K149" s="275">
        <f ca="1">IF(I149&gt;0,J149*100/I149,0)</f>
        <v>47.058823529411768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16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14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16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32</v>
      </c>
      <c r="K158" s="163">
        <f ca="1">IF(I158&gt;0,J158*100/I158,0)</f>
        <v>47.058823529411768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1233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1231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3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48</v>
      </c>
      <c r="K164" s="284">
        <f ca="1">IF(I164&gt;0,J164*100/I164,0)</f>
        <v>92.307692307692307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17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14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48</v>
      </c>
      <c r="K173" s="163">
        <f ca="1">IF(I173&gt;0,J173*100/I173,0)</f>
        <v>92.307692307692307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3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84">
        <f ca="1">IF(I176&gt;0,J176*100/I176,0)</f>
        <v>75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3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2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2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2</v>
      </c>
      <c r="K185" s="223">
        <f t="shared" ref="K185:K186" ca="1" si="56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23">
        <f t="shared" ca="1" si="56"/>
        <v>75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3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644000</v>
      </c>
      <c r="K199" s="163">
        <f t="shared" ref="K199:K201" ca="1" si="57">IF(I199&gt;0,J199*100/I199,0)</f>
        <v>52.614379084967318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0</v>
      </c>
      <c r="K200" s="163">
        <f t="shared" ca="1" si="57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3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3">
        <f t="shared" ref="K215:K216" ca="1" si="58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23">
        <f t="shared" ca="1" si="58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6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306406</v>
      </c>
      <c r="O220" s="151">
        <f t="shared" ref="O220:O222" ca="1" si="59">IF(L220&gt;0,N220*100/L220,0)</f>
        <v>92.149409040329616</v>
      </c>
      <c r="P220" s="151">
        <f t="shared" ref="P220:P222" ca="1" si="60">IF(M220&gt;0,N220*100/M220,0)</f>
        <v>92.149409040329616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306406</v>
      </c>
      <c r="O222" s="156">
        <f t="shared" ca="1" si="59"/>
        <v>92.149409040329616</v>
      </c>
      <c r="P222" s="156">
        <f t="shared" ca="1" si="60"/>
        <v>92.149409040329616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306406</v>
      </c>
      <c r="O224" s="168">
        <f ca="1">IF(L224&gt;0,N224*100/L224,0)</f>
        <v>92.149409040329616</v>
      </c>
      <c r="P224" s="168">
        <f ca="1">IF(M224&gt;0,N224*100/M224,0)</f>
        <v>92.149409040329616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6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12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12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13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19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4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6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5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827500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594837.76000000001</v>
      </c>
      <c r="O250" s="151">
        <f t="shared" ref="O250:O252" ca="1" si="61">IF(L250&gt;0,N250*100/L250,0)</f>
        <v>52.827509769094135</v>
      </c>
      <c r="P250" s="151">
        <f t="shared" ref="P250:P252" ca="1" si="62">IF(M250&gt;0,N250*100/M250,0)</f>
        <v>71.883717220543801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827500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594837.76000000001</v>
      </c>
      <c r="O252" s="156">
        <f t="shared" ca="1" si="61"/>
        <v>52.827509769094135</v>
      </c>
      <c r="P252" s="156">
        <f t="shared" ca="1" si="62"/>
        <v>71.883717220543801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827500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594837.76000000001</v>
      </c>
      <c r="O254" s="168">
        <f ca="1">IF(L254&gt;0,N254*100/L254,0)</f>
        <v>52.827509769094135</v>
      </c>
      <c r="P254" s="168">
        <f ca="1">IF(M254&gt;0,N254*100/M254,0)</f>
        <v>71.883717220543801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8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25</v>
      </c>
      <c r="K266" s="163">
        <f t="shared" ca="1" si="63"/>
        <v>13.888888888888889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6</v>
      </c>
      <c r="K267" s="163">
        <f t="shared" ca="1" si="63"/>
        <v>75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5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1837250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1252028.48</v>
      </c>
      <c r="O271" s="151">
        <f t="shared" ref="O271:O273" ca="1" si="64">IF(L271&gt;0,N271*100/L271,0)</f>
        <v>50.564536165744521</v>
      </c>
      <c r="P271" s="151">
        <f t="shared" ref="P271:P273" ca="1" si="65">IF(M271&gt;0,N271*100/M271,0)</f>
        <v>68.146876037556126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1837250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1252028.48</v>
      </c>
      <c r="O273" s="156">
        <f t="shared" ca="1" si="64"/>
        <v>50.564536165744521</v>
      </c>
      <c r="P273" s="156">
        <f t="shared" ca="1" si="65"/>
        <v>68.146876037556126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1837250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1252028.48</v>
      </c>
      <c r="O275" s="168">
        <f ca="1">IF(L275&gt;0,N275*100/L275,0)</f>
        <v>50.564536165744521</v>
      </c>
      <c r="P275" s="168">
        <f ca="1">IF(M275&gt;0,N275*100/M275,0)</f>
        <v>68.146876037556126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5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6">
        <f ca="1">IF(I289&gt;0,J289*100/I289,0)</f>
        <v>100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38100</v>
      </c>
      <c r="O290" s="151">
        <f t="shared" ref="O290:O292" ca="1" si="66">IF(L290&gt;0,N290*100/L290,0)</f>
        <v>31.550182179529646</v>
      </c>
      <c r="P290" s="151">
        <f t="shared" ref="P290:P292" ca="1" si="67">IF(M290&gt;0,N290*100/M290,0)</f>
        <v>31.550182179529646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38100</v>
      </c>
      <c r="O292" s="156">
        <f t="shared" ca="1" si="66"/>
        <v>31.550182179529646</v>
      </c>
      <c r="P292" s="156">
        <f t="shared" ca="1" si="67"/>
        <v>31.550182179529646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38100</v>
      </c>
      <c r="O294" s="168">
        <f ca="1">IF(L294&gt;0,N294*100/L294,0)</f>
        <v>31.550182179529646</v>
      </c>
      <c r="P294" s="168">
        <f ca="1">IF(M294&gt;0,N294*100/M294,0)</f>
        <v>31.550182179529646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3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2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4</v>
      </c>
      <c r="K309" s="333">
        <f ca="1">IF(I309&gt;0,J309*100/I309,0)</f>
        <v>50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699700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371701.94</v>
      </c>
      <c r="O310" s="151">
        <f t="shared" ref="O310:O312" ca="1" si="68">IF(L310&gt;0,N310*100/L310,0)</f>
        <v>48.098077122153207</v>
      </c>
      <c r="P310" s="151">
        <f t="shared" ref="P310:P312" ca="1" si="69">IF(M310&gt;0,N310*100/M310,0)</f>
        <v>53.123044161783625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699700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371701.94</v>
      </c>
      <c r="O312" s="156">
        <f t="shared" ca="1" si="68"/>
        <v>48.098077122153207</v>
      </c>
      <c r="P312" s="156">
        <f t="shared" ca="1" si="69"/>
        <v>53.123044161783625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699700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371701.94</v>
      </c>
      <c r="O314" s="168">
        <f ca="1">IF(L314&gt;0,N314*100/L314,0)</f>
        <v>48.098077122153207</v>
      </c>
      <c r="P314" s="168">
        <f ca="1">IF(M314&gt;0,N314*100/M314,0)</f>
        <v>53.123044161783625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4</v>
      </c>
      <c r="K324" s="223">
        <f ca="1">IF(I324&gt;0,J324*100/I324,0)</f>
        <v>50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6310</v>
      </c>
      <c r="J328" s="338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2610</v>
      </c>
      <c r="K328" s="316">
        <f ca="1">IF(I328&gt;0,J328*100/I328,0)</f>
        <v>41.362916006339141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17641110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13384400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9229833.3900000006</v>
      </c>
      <c r="O329" s="151">
        <f t="shared" ref="O329:O331" ca="1" si="70">IF(L329&gt;0,N329*100/L329,0)</f>
        <v>52.32002629086265</v>
      </c>
      <c r="P329" s="151">
        <f t="shared" ref="P329:P331" ca="1" si="71">IF(M329&gt;0,N329*100/M329,0)</f>
        <v>68.959635022862443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17641110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13384400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9229833.3900000006</v>
      </c>
      <c r="O331" s="156">
        <f t="shared" ca="1" si="70"/>
        <v>52.32002629086265</v>
      </c>
      <c r="P331" s="156">
        <f t="shared" ca="1" si="71"/>
        <v>68.959635022862443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16835290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12578580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8424013.3900000006</v>
      </c>
      <c r="O333" s="168">
        <f ca="1">IF(L333&gt;0,N333*100/L333,0)</f>
        <v>50.03782762280899</v>
      </c>
      <c r="P333" s="168">
        <f ca="1">IF(M333&gt;0,N333*100/M333,0)</f>
        <v>66.971099996978992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8201990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50">
        <f ca="1">L337</f>
        <v>805820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2658</v>
      </c>
      <c r="K339" s="341">
        <f t="shared" ref="K339:K346" ca="1" si="72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41170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19722.759999999991</v>
      </c>
      <c r="K340" s="341">
        <f t="shared" ca="1" si="72"/>
        <v>47.905659460772384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6310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3694</v>
      </c>
      <c r="K341" s="341">
        <f t="shared" ca="1" si="72"/>
        <v>58.541996830427891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33592.19999999999</v>
      </c>
      <c r="K342" s="341">
        <f t="shared" ca="1" si="72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6310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84</v>
      </c>
      <c r="K343" s="341">
        <f t="shared" ca="1" si="72"/>
        <v>1.3312202852614896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803.18000000000006</v>
      </c>
      <c r="K344" s="341">
        <f t="shared" ca="1" si="72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6310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2610</v>
      </c>
      <c r="K345" s="341">
        <f t="shared" ca="1" si="72"/>
        <v>41.362916006339141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23007.219999999979</v>
      </c>
      <c r="K346" s="350">
        <f t="shared" ca="1" si="72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40055383.109999992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13021685.859999999</v>
      </c>
      <c r="O347" s="357">
        <f ca="1">+IF(L347&gt;0,N347*100/L347,0)</f>
        <v>32.509203130675047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1045</v>
      </c>
      <c r="K349" s="371">
        <f t="shared" ref="K349:K350" ca="1" si="73">IF(I349&gt;0,J349*100/I349,0)</f>
        <v>56.486486486486484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2340623.8399999989</v>
      </c>
      <c r="O349" s="372">
        <f ca="1">+IF(L349&gt;0,N349*100/L349,0)</f>
        <v>44.121921996644588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2340623.8399999989</v>
      </c>
      <c r="O352" s="165">
        <f t="shared" ca="1" si="74"/>
        <v>44.121921996644588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2340623.8399999989</v>
      </c>
      <c r="O354" s="168">
        <f t="shared" ca="1" si="74"/>
        <v>44.121921996644588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805339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567838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777313.74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190133.1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1045</v>
      </c>
      <c r="K375" s="163">
        <f t="shared" ref="K375:K377" ca="1" si="76">IF(I375&gt;0,J375*100/I375,0)</f>
        <v>56.486486486486484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452</v>
      </c>
      <c r="K376" s="163">
        <f t="shared" ca="1" si="76"/>
        <v>58.854166666666664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593</v>
      </c>
      <c r="K377" s="163">
        <f t="shared" ca="1" si="76"/>
        <v>54.80591497227357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500</v>
      </c>
      <c r="K380" s="371">
        <f t="shared" ref="K380:K381" ca="1" si="77">IF(I380&gt;0,J380*100/I380,0)</f>
        <v>3.7037037037037037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3108882.5</v>
      </c>
      <c r="O380" s="372">
        <f ca="1">+IF(L380&gt;0,N380*100/L380,0)</f>
        <v>22.519485270149868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1320</v>
      </c>
      <c r="K381" s="371">
        <f t="shared" ca="1" si="77"/>
        <v>97.777777777777771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3108882.5</v>
      </c>
      <c r="O383" s="165">
        <f t="shared" ca="1" si="78"/>
        <v>22.519485270149868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3108882.5</v>
      </c>
      <c r="O385" s="168">
        <f t="shared" ca="1" si="78"/>
        <v>22.519485270149868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1958128.2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312500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655951.05000000005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182303.25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1320</v>
      </c>
      <c r="K396" s="163">
        <f t="shared" ref="K396:K398" ca="1" si="79">IF(I396&gt;0,J396*100/I396,0)</f>
        <v>97.777777777777771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500</v>
      </c>
      <c r="K397" s="163">
        <f t="shared" ca="1" si="79"/>
        <v>3.7037037037037037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50</v>
      </c>
      <c r="K398" s="163">
        <f t="shared" ca="1" si="79"/>
        <v>3.7037037037037037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2667</v>
      </c>
      <c r="K401" s="371">
        <f t="shared" ref="K401:K402" ca="1" si="80">IF(I401&gt;0,J401*100/I401,0)</f>
        <v>92.894461859979103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1936279</v>
      </c>
      <c r="O401" s="372">
        <f ca="1">+IF(L401&gt;0,N401*100/L401,0)</f>
        <v>60.011374483964147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784</v>
      </c>
      <c r="K402" s="371">
        <f t="shared" ca="1" si="80"/>
        <v>81.922675026123301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1936279</v>
      </c>
      <c r="O404" s="168">
        <f t="shared" ca="1" si="81"/>
        <v>60.011374483964147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1936279</v>
      </c>
      <c r="O406" s="168">
        <f t="shared" ca="1" si="81"/>
        <v>60.011374483964147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1550576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173885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211818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784</v>
      </c>
      <c r="K416" s="201">
        <f t="shared" ref="K416:K432" ca="1" si="82">IF(I416&gt;0,J416*100/I416,0)</f>
        <v>81.922675026123301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170</v>
      </c>
      <c r="K417" s="201">
        <f t="shared" ca="1" si="82"/>
        <v>85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540</v>
      </c>
      <c r="K418" s="201">
        <f t="shared" ca="1" si="82"/>
        <v>90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180</v>
      </c>
      <c r="K419" s="163">
        <f t="shared" ca="1" si="82"/>
        <v>90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190</v>
      </c>
      <c r="K420" s="287">
        <f t="shared" ca="1" si="82"/>
        <v>95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475</v>
      </c>
      <c r="K421" s="201">
        <f t="shared" ca="1" si="82"/>
        <v>82.752613240418114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1632</v>
      </c>
      <c r="K422" s="201">
        <f t="shared" ca="1" si="82"/>
        <v>94.773519163763069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505</v>
      </c>
      <c r="K424" s="163">
        <f t="shared" ca="1" si="82"/>
        <v>87.979094076655059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475</v>
      </c>
      <c r="K425" s="163">
        <f t="shared" ca="1" si="82"/>
        <v>82.752613240418114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139</v>
      </c>
      <c r="K426" s="201">
        <f t="shared" ca="1" si="82"/>
        <v>75.95628415300547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495</v>
      </c>
      <c r="K427" s="201">
        <f t="shared" ca="1" si="82"/>
        <v>90.163934426229503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159</v>
      </c>
      <c r="K428" s="163">
        <f t="shared" ca="1" si="82"/>
        <v>86.885245901639351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155</v>
      </c>
      <c r="K429" s="163">
        <f t="shared" ca="1" si="82"/>
        <v>84.699453551912569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119</v>
      </c>
      <c r="K430" s="201">
        <f t="shared" ca="1" si="82"/>
        <v>15.374677002583979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45</v>
      </c>
      <c r="K431" s="163">
        <f t="shared" ca="1" si="82"/>
        <v>22.5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195</v>
      </c>
      <c r="K432" s="163">
        <f t="shared" ca="1" si="82"/>
        <v>33.972125435540072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2087200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1253261.29</v>
      </c>
      <c r="O435" s="411">
        <f t="shared" ref="O435:O439" ca="1" si="83">+IF(L435&gt;0,N435*100/L435,0)</f>
        <v>60.045098217707931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2087200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1253261.29</v>
      </c>
      <c r="O437" s="168">
        <f t="shared" ca="1" si="83"/>
        <v>60.045098217707931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2087200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1253261.29</v>
      </c>
      <c r="O439" s="168">
        <f t="shared" ca="1" si="83"/>
        <v>60.045098217707931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966692.9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286568.39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250666.86999999991</v>
      </c>
      <c r="K455" s="371">
        <f ca="1">IF(I455&gt;0,J455*100/I455,0)</f>
        <v>31.349111678618495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7778757.1100000003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1923467.8599999999</v>
      </c>
      <c r="O455" s="372">
        <f t="shared" ref="O455:O459" ca="1" si="85">+IF(L455&gt;0,N455*100/L455,0)</f>
        <v>24.727187554516661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7778757.1100000003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1923467.8599999999</v>
      </c>
      <c r="O457" s="168">
        <f t="shared" ca="1" si="85"/>
        <v>24.727187554516661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7778757.1100000003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1923467.8599999999</v>
      </c>
      <c r="O459" s="168">
        <f t="shared" ca="1" si="85"/>
        <v>24.727187554516661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578324.66999999993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1345143.19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6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250666.86999999991</v>
      </c>
      <c r="K464" s="267">
        <f t="shared" ref="K464:K515" ca="1" si="86">IF(I464&gt;0,J464*100/I464,0)</f>
        <v>31.349111678618495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799652.22</v>
      </c>
      <c r="K465" s="201">
        <f t="shared" ca="1" si="86"/>
        <v>100.00678090740597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621316.86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78540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161056.07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14723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17279.29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1910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799641.12999999977</v>
      </c>
      <c r="K473" s="201">
        <f t="shared" ca="1" si="86"/>
        <v>100.0053939604651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661126.79000000015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81909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121039.25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11304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17475.09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1961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250666.86999999991</v>
      </c>
      <c r="K481" s="201">
        <f t="shared" ca="1" si="86"/>
        <v>31.349111678618495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37025</v>
      </c>
      <c r="K482" s="201">
        <f t="shared" ca="1" si="86"/>
        <v>38.902840091202336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223244.79999999999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34673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22912.13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1871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4509.9399999999996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481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4341.45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461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168.49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20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0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0</v>
      </c>
      <c r="K494" s="287">
        <f t="shared" ca="1" si="86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7">
        <f t="shared" ca="1" si="86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5699.1</v>
      </c>
      <c r="K497" s="444">
        <f t="shared" ca="1" si="86"/>
        <v>12.43042226487524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5699.1</v>
      </c>
      <c r="K498" s="201">
        <f t="shared" ca="1" si="86"/>
        <v>12.43042226487524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588</v>
      </c>
      <c r="K499" s="201">
        <f t="shared" ca="1" si="86"/>
        <v>15.738758029978587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5145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527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4127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388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992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138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291.10000000000002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37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273.10000000000002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29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18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8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263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24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6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843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3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3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3700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294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3700</v>
      </c>
      <c r="J525" s="283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303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294</v>
      </c>
      <c r="J526" s="283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39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131.75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18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33.25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21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397619.23999999987</v>
      </c>
      <c r="O533" s="411">
        <f t="shared" ref="O533:O537" ca="1" si="87">+IF(L533&gt;0,N533*100/L533,0)</f>
        <v>66.748235689105229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397619.23999999987</v>
      </c>
      <c r="O535" s="168">
        <f t="shared" ca="1" si="87"/>
        <v>66.748235689105229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397619.23999999987</v>
      </c>
      <c r="O537" s="168">
        <f t="shared" ca="1" si="87"/>
        <v>66.748235689105229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71245.239999999991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3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12800</v>
      </c>
      <c r="K551" s="410">
        <f ca="1">IF(I551&gt;0,J551*100/I551,0)</f>
        <v>51.2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557734.44999999995</v>
      </c>
      <c r="O551" s="411">
        <f t="shared" ref="O551:O555" ca="1" si="89">+IF(L551&gt;0,N551*100/L551,0)</f>
        <v>36.453232026143787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557734.44999999995</v>
      </c>
      <c r="O553" s="168">
        <f t="shared" ca="1" si="89"/>
        <v>36.453232026143787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557734.44999999995</v>
      </c>
      <c r="O555" s="168">
        <f t="shared" ca="1" si="89"/>
        <v>36.453232026143787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191862.76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365871.69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12800</v>
      </c>
      <c r="K560" s="223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248.56444444444443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1313</v>
      </c>
      <c r="K561" s="223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32500</v>
      </c>
      <c r="K564" s="371">
        <f ca="1">IF(I564&gt;0,J564*100/I564,0)</f>
        <v>99.846390168970814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947876.46999999986</v>
      </c>
      <c r="O564" s="372">
        <f t="shared" ref="O564:O568" ca="1" si="90">+IF(L564&gt;0,N564*100/L564,0)</f>
        <v>39.790629932498227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947876.46999999986</v>
      </c>
      <c r="O566" s="168">
        <f t="shared" ca="1" si="90"/>
        <v>39.790629932498227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947876.46999999986</v>
      </c>
      <c r="O568" s="168">
        <f t="shared" ca="1" si="90"/>
        <v>39.790629932498227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669944.88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277931.58999999997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32500</v>
      </c>
      <c r="K573" s="201">
        <f ca="1">IF(I573&gt;0,J573*100/I573,0)</f>
        <v>99.846390168970814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68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3748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28156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51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545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85</v>
      </c>
      <c r="K580" s="371">
        <f ca="1">IF(I580&gt;0,J580*100/I580,0)</f>
        <v>5.0117924528301883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523825.2099999999</v>
      </c>
      <c r="O580" s="372">
        <f t="shared" ref="O580:O584" ca="1" si="92">+IF(L580&gt;0,N580*100/L580,0)</f>
        <v>16.319579499756369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523825.2099999999</v>
      </c>
      <c r="O582" s="168">
        <f t="shared" ca="1" si="92"/>
        <v>16.319579499756369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523825.2099999999</v>
      </c>
      <c r="O584" s="168">
        <f t="shared" ca="1" si="92"/>
        <v>16.319579499756369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251853.96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271971.25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521</v>
      </c>
      <c r="K589" s="163">
        <f t="shared" ref="K589:K596" ca="1" si="93">IF(I589&gt;0,J589*100/I589,0)</f>
        <v>30.71933962264151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370.79999999999995</v>
      </c>
      <c r="K590" s="479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194</v>
      </c>
      <c r="K591" s="163">
        <f t="shared" ca="1" si="93"/>
        <v>11.438679245283019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138.43</v>
      </c>
      <c r="K592" s="341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6</v>
      </c>
      <c r="K593" s="163">
        <f t="shared" ca="1" si="93"/>
        <v>0.35377358490566035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4.3499999999999996</v>
      </c>
      <c r="K594" s="341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85</v>
      </c>
      <c r="K595" s="163">
        <f t="shared" ca="1" si="93"/>
        <v>5.0117924528301883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0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54.849999999999994</v>
      </c>
      <c r="K596" s="486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7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32116</v>
      </c>
      <c r="O597" s="411">
        <f t="shared" ref="O597:O601" ca="1" si="94">+IF(L597&gt;0,N597*100/L597,0)</f>
        <v>23.780821917808218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32116</v>
      </c>
      <c r="O599" s="168">
        <f t="shared" ca="1" si="94"/>
        <v>23.780821917808218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32116</v>
      </c>
      <c r="O601" s="168">
        <f t="shared" ca="1" si="94"/>
        <v>23.780821917808218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30916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1482.75</v>
      </c>
      <c r="K612" s="163">
        <f t="shared" ca="1" si="95"/>
        <v>100.86734693877551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1275.75</v>
      </c>
      <c r="K613" s="163">
        <f t="shared" ca="1" si="95"/>
        <v>86.785714285714292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399.75</v>
      </c>
      <c r="K614" s="163">
        <f t="shared" ca="1" si="95"/>
        <v>27.193877551020407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27.193877551020407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0</v>
      </c>
      <c r="K616" s="163">
        <f t="shared" ca="1" si="95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103074459.59000002</v>
      </c>
      <c r="J628" s="340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39214252.109999999</v>
      </c>
      <c r="K628" s="341">
        <f t="shared" ref="K628:K635" ca="1" si="97">IF(I628&gt;0,J628*100/I628,0)</f>
        <v>38.044586666748287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4860</v>
      </c>
      <c r="J629" s="340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2165</v>
      </c>
      <c r="K629" s="341">
        <f t="shared" ca="1" si="97"/>
        <v>44.547325102880656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111887936.91000001</v>
      </c>
      <c r="J630" s="340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9198974.7400000002</v>
      </c>
      <c r="K630" s="341">
        <f t="shared" ca="1" si="97"/>
        <v>8.2215965313574735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0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1699</v>
      </c>
      <c r="K631" s="341">
        <f t="shared" ca="1" si="97"/>
        <v>38.719234275296266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0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15630869.370000001</v>
      </c>
      <c r="K632" s="341">
        <f t="shared" ca="1" si="97"/>
        <v>20.444908090218814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0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2185</v>
      </c>
      <c r="K633" s="341">
        <f t="shared" ca="1" si="97"/>
        <v>34.539993676889033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85535000</v>
      </c>
      <c r="J634" s="340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25934000</v>
      </c>
      <c r="K634" s="341">
        <f t="shared" ca="1" si="97"/>
        <v>30.31975214824341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2565</v>
      </c>
      <c r="J635" s="504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746</v>
      </c>
      <c r="K635" s="486">
        <f t="shared" ca="1" si="97"/>
        <v>29.08382066276803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A3" sqref="A3:P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254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6982668.9100000001</v>
      </c>
      <c r="M8" s="23">
        <f t="shared" ca="1" si="0"/>
        <v>3440387</v>
      </c>
      <c r="N8" s="23">
        <f t="shared" ca="1" si="0"/>
        <v>3129888.12</v>
      </c>
      <c r="O8" s="22">
        <f t="shared" ref="O8:O16" ca="1" si="1">IF(L8&gt;0,N8*100/L8,0)</f>
        <v>44.823664996025137</v>
      </c>
      <c r="P8" s="22">
        <f t="shared" ref="P8:P16" ca="1" si="2">IF(M8&gt;0,N8*100/M8,0)</f>
        <v>90.974885092868917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6982668.9100000001</v>
      </c>
      <c r="M10" s="30">
        <f t="shared" ca="1" si="4"/>
        <v>3440387</v>
      </c>
      <c r="N10" s="30">
        <f t="shared" ca="1" si="4"/>
        <v>3129888.12</v>
      </c>
      <c r="O10" s="29">
        <f t="shared" ca="1" si="1"/>
        <v>44.823664996025137</v>
      </c>
      <c r="P10" s="29">
        <f t="shared" ca="1" si="2"/>
        <v>90.974885092868917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6907668.9100000001</v>
      </c>
      <c r="M12" s="39">
        <f t="shared" ca="1" si="6"/>
        <v>3365387</v>
      </c>
      <c r="N12" s="39">
        <f t="shared" ca="1" si="6"/>
        <v>3054888.12</v>
      </c>
      <c r="O12" s="39">
        <f t="shared" ca="1" si="1"/>
        <v>44.224588060055126</v>
      </c>
      <c r="P12" s="39">
        <f t="shared" ca="1" si="2"/>
        <v>90.773754103168528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2200100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4707568.91</v>
      </c>
      <c r="M14" s="39">
        <f t="shared" si="8"/>
        <v>0</v>
      </c>
      <c r="N14" s="39">
        <f t="shared" ca="1" si="8"/>
        <v>620836.05999999994</v>
      </c>
      <c r="O14" s="39">
        <f t="shared" ca="1" si="1"/>
        <v>13.188039768917582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75000</v>
      </c>
      <c r="M16" s="39">
        <f t="shared" ca="1" si="10"/>
        <v>75000</v>
      </c>
      <c r="N16" s="39">
        <f t="shared" ca="1" si="10"/>
        <v>75000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4241230</v>
      </c>
      <c r="M18" s="23">
        <f t="shared" ca="1" si="11"/>
        <v>3440387</v>
      </c>
      <c r="N18" s="23">
        <f t="shared" ca="1" si="11"/>
        <v>2509052.06</v>
      </c>
      <c r="O18" s="22">
        <f t="shared" ref="O18:O20" ca="1" si="12">IF(L18&gt;0,N18*100/L18,0)</f>
        <v>59.158594558653974</v>
      </c>
      <c r="P18" s="22">
        <f t="shared" ref="P18:P26" ca="1" si="13">IF(M18&gt;0,N18*100/M18,0)</f>
        <v>72.929355331246171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4241230</v>
      </c>
      <c r="M20" s="30">
        <f t="shared" ca="1" si="15"/>
        <v>3440387</v>
      </c>
      <c r="N20" s="30">
        <f t="shared" ca="1" si="15"/>
        <v>2509052.06</v>
      </c>
      <c r="O20" s="29">
        <f t="shared" ca="1" si="12"/>
        <v>59.158594558653974</v>
      </c>
      <c r="P20" s="29">
        <f t="shared" ca="1" si="13"/>
        <v>72.929355331246171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4166230</v>
      </c>
      <c r="M22" s="42">
        <f t="shared" ca="1" si="18"/>
        <v>3365387</v>
      </c>
      <c r="N22" s="39">
        <f t="shared" ca="1" si="18"/>
        <v>2434052.06</v>
      </c>
      <c r="O22" s="39">
        <f t="shared" ca="1" si="17"/>
        <v>58.423372209407546</v>
      </c>
      <c r="P22" s="39">
        <f t="shared" ca="1" si="13"/>
        <v>72.326067106101021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2200100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1966130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75000</v>
      </c>
      <c r="M26" s="50">
        <f t="shared" ca="1" si="22"/>
        <v>75000</v>
      </c>
      <c r="N26" s="50">
        <f t="shared" ca="1" si="22"/>
        <v>75000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2741438.91</v>
      </c>
      <c r="M28" s="23">
        <f t="shared" si="23"/>
        <v>0</v>
      </c>
      <c r="N28" s="23">
        <f t="shared" ca="1" si="23"/>
        <v>620836.05999999994</v>
      </c>
      <c r="O28" s="22">
        <f t="shared" ref="O28:O30" ca="1" si="24">IF(L28&gt;0,N28*100/L28,0)</f>
        <v>22.646357638514729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2741438.91</v>
      </c>
      <c r="M30" s="30">
        <f t="shared" si="27"/>
        <v>0</v>
      </c>
      <c r="N30" s="30">
        <f t="shared" ca="1" si="27"/>
        <v>620836.05999999994</v>
      </c>
      <c r="O30" s="29">
        <f t="shared" ca="1" si="24"/>
        <v>22.646357638514729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2741438.91</v>
      </c>
      <c r="M32" s="39">
        <f t="shared" si="30"/>
        <v>0</v>
      </c>
      <c r="N32" s="39">
        <f t="shared" ca="1" si="30"/>
        <v>620836.05999999994</v>
      </c>
      <c r="O32" s="39">
        <f t="shared" ca="1" si="29"/>
        <v>22.646357638514729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2741438.91</v>
      </c>
      <c r="M34" s="39">
        <f t="shared" si="32"/>
        <v>0</v>
      </c>
      <c r="N34" s="39">
        <f t="shared" ca="1" si="32"/>
        <v>620836.05999999994</v>
      </c>
      <c r="O34" s="39">
        <f t="shared" ca="1" si="29"/>
        <v>22.646357638514729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4241230</v>
      </c>
      <c r="M37" s="55">
        <f t="shared" ca="1" si="33"/>
        <v>3440387</v>
      </c>
      <c r="N37" s="55">
        <f t="shared" ca="1" si="33"/>
        <v>2509052.0600000005</v>
      </c>
      <c r="O37" s="56">
        <f t="shared" ca="1" si="29"/>
        <v>59.158594558653988</v>
      </c>
      <c r="P37" s="56">
        <f t="shared" ca="1" si="25"/>
        <v>72.929355331246185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778600</v>
      </c>
      <c r="N41" s="79">
        <f t="shared" ca="1" si="34"/>
        <v>868903.3</v>
      </c>
      <c r="O41" s="78">
        <f t="shared" ref="O41:O43" ca="1" si="35">IF(L41&gt;0,N41*100/L41,0)</f>
        <v>83.701310085733553</v>
      </c>
      <c r="P41" s="78">
        <f t="shared" ref="P41:P43" ca="1" si="36">IF(M41&gt;0,N41*100/M41,0)</f>
        <v>111.59816337015155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778600</v>
      </c>
      <c r="N43" s="79">
        <f t="shared" ca="1" si="38"/>
        <v>868903.3</v>
      </c>
      <c r="O43" s="78">
        <f t="shared" ca="1" si="35"/>
        <v>83.701310085733553</v>
      </c>
      <c r="P43" s="78">
        <f t="shared" ca="1" si="36"/>
        <v>111.59816337015155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IFERROR(__xludf.DUMMYFUNCTION("IMPORTRANGE(""https://docs.google.com/spreadsheets/d/1Yj_ptqi66GCucihVvJfMjLAmec39IyEx_6qawtMGysU/edit?usp=sharing"",""สบก!Q28"")"),778600)</f>
        <v>778600</v>
      </c>
      <c r="N45" s="50">
        <f ca="1">IFERROR(__xludf.DUMMYFUNCTION("IMPORTRANGE(""https://docs.google.com/spreadsheets/d/1Yj_ptqi66GCucihVvJfMjLAmec39IyEx_6qawtMGysU/edit?usp=sharing"",""สบก!R28"")"),868903.3)</f>
        <v>868903.3</v>
      </c>
      <c r="O45" s="39">
        <f ca="1">IF(L45&gt;0,N45*100/L45,0)</f>
        <v>83.701310085733553</v>
      </c>
      <c r="P45" s="39">
        <f ca="1">IF(M45&gt;0,N45*100/M45,0)</f>
        <v>111.59816337015155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328802</v>
      </c>
      <c r="N53" s="121">
        <f t="shared" ca="1" si="39"/>
        <v>310303.3</v>
      </c>
      <c r="O53" s="120">
        <f t="shared" ref="O53:O55" ca="1" si="40">IF(L53&gt;0,N53*100/L53,0)</f>
        <v>77.575824999999995</v>
      </c>
      <c r="P53" s="120">
        <f t="shared" ref="P53:P55" ca="1" si="41">IF(M53&gt;0,N53*100/M53,0)</f>
        <v>94.37390891782897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328802</v>
      </c>
      <c r="N55" s="121">
        <f t="shared" ca="1" si="43"/>
        <v>310303.3</v>
      </c>
      <c r="O55" s="120">
        <f t="shared" ca="1" si="40"/>
        <v>77.575824999999995</v>
      </c>
      <c r="P55" s="120">
        <f t="shared" ca="1" si="41"/>
        <v>94.37390891782897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IFERROR(__xludf.DUMMYFUNCTION("IMPORTRANGE(""https://docs.google.com/spreadsheets/d/1Yj_ptqi66GCucihVvJfMjLAmec39IyEx_6qawtMGysU/edit?usp=sharing"",""สบก!Z28"")"),328802)</f>
        <v>328802</v>
      </c>
      <c r="N57" s="50">
        <f ca="1">IFERROR(__xludf.DUMMYFUNCTION("IMPORTRANGE(""https://docs.google.com/spreadsheets/d/1Yj_ptqi66GCucihVvJfMjLAmec39IyEx_6qawtMGysU/edit?usp=sharing"",""สบก!AA28"")"),310303.3)</f>
        <v>310303.3</v>
      </c>
      <c r="O57" s="39">
        <f ca="1">IF(L57&gt;0,N57*100/L57,0)</f>
        <v>77.575824999999995</v>
      </c>
      <c r="P57" s="39">
        <f ca="1">IF(M57&gt;0,N57*100/M57,0)</f>
        <v>94.37390891782897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1706600</v>
      </c>
      <c r="M66" s="152">
        <f t="shared" ca="1" si="45"/>
        <v>1523980</v>
      </c>
      <c r="N66" s="152">
        <f t="shared" ca="1" si="45"/>
        <v>708779.46</v>
      </c>
      <c r="O66" s="151">
        <f t="shared" ref="O66:O68" ca="1" si="46">IF(L66&gt;0,N66*100/L66,0)</f>
        <v>41.531668815188091</v>
      </c>
      <c r="P66" s="151">
        <f t="shared" ref="P66:P68" ca="1" si="47">IF(M66&gt;0,N66*100/M66,0)</f>
        <v>46.50844892977598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1706600</v>
      </c>
      <c r="M68" s="88">
        <f t="shared" ca="1" si="49"/>
        <v>1523980</v>
      </c>
      <c r="N68" s="88">
        <f t="shared" ca="1" si="49"/>
        <v>708779.46</v>
      </c>
      <c r="O68" s="156">
        <f t="shared" ca="1" si="46"/>
        <v>41.531668815188091</v>
      </c>
      <c r="P68" s="156">
        <f t="shared" ca="1" si="47"/>
        <v>46.50844892977598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IFERROR(__xludf.DUMMYFUNCTION("IMPORTRANGE(""https://docs.google.com/spreadsheets/d/1Yj_ptqi66GCucihVvJfMjLAmec39IyEx_6qawtMGysU/edit?usp=sharing"",""สบก!AI28"")"),1463980)</f>
        <v>1463980</v>
      </c>
      <c r="N70" s="168">
        <f ca="1">IFERROR(__xludf.DUMMYFUNCTION("IMPORTRANGE(""https://docs.google.com/spreadsheets/d/1Yj_ptqi66GCucihVvJfMjLAmec39IyEx_6qawtMGysU/edit?usp=sharing"",""สบก!AJ28"")"),648779.46)</f>
        <v>648779.46</v>
      </c>
      <c r="O70" s="168">
        <f ca="1">IF(L70&gt;0,N70*100/L70,0)</f>
        <v>39.401157536742382</v>
      </c>
      <c r="P70" s="168">
        <f ca="1">IF(M70&gt;0,N70*100/M70,0)</f>
        <v>44.316142297025912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IFERROR(__xludf.DUMMYFUNCTION("IMPORTRANGE(""https://docs.google.com/spreadsheets/d/1Yj_ptqi66GCucihVvJfMjLAmec39IyEx_6qawtMGysU/edit?usp=sharing"",""สบก!AG28"")"),60000)</f>
        <v>60000</v>
      </c>
      <c r="M74" s="50">
        <f ca="1">L74</f>
        <v>60000</v>
      </c>
      <c r="N74" s="50">
        <f ca="1">IFERROR(__xludf.DUMMYFUNCTION("IMPORTRANGE(""https://docs.google.com/spreadsheets/d/1Yj_ptqi66GCucihVvJfMjLAmec39IyEx_6qawtMGysU/edit?usp=sharing"",""สบก!AK28"")"),60000)</f>
        <v>60000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IFERROR(__xludf.DUMMYFUNCTION("IMPORTRANGE(""https://docs.google.com/spreadsheets/d/11923uPwbBZFjjGgGUA6NLw09EwE0CqkOc4q9oUmW1yo/edit?usp=sharing"",""พิษณุโลก!I28"")"),0)</f>
        <v>0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IFERROR(__xludf.DUMMYFUNCTION("IMPORTRANGE(""https://docs.google.com/spreadsheets/d/11923uPwbBZFjjGgGUA6NLw09EwE0CqkOc4q9oUmW1yo/edit?usp=sharing"",""พิษณุโลก!J50"")"),0)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255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IFERROR(__xludf.DUMMYFUNCTION("IMPORTRANGE(""https://docs.google.com/spreadsheets/d/11923uPwbBZFjjGgGUA6NLw09EwE0CqkOc4q9oUmW1yo/edit?usp=sharing"",""พิษณุโลก!J65"")"),0)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IFERROR(__xludf.DUMMYFUNCTION("IMPORTRANGE(""https://docs.google.com/spreadsheets/d/11923uPwbBZFjjGgGUA6NLw09EwE0CqkOc4q9oUmW1yo/edit?usp=sharing"",""พิษณุโลก!I68"")"),15)</f>
        <v>15</v>
      </c>
      <c r="J138" s="266">
        <f ca="1">IFERROR(__xludf.DUMMYFUNCTION("IMPORTRANGE(""https://docs.google.com/spreadsheets/d/11923uPwbBZFjjGgGUA6NLw09EwE0CqkOc4q9oUmW1yo/edit?usp=sharing"",""พิษณุโลก!J68"")"),15)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348000</v>
      </c>
      <c r="M140" s="152">
        <f t="shared" ca="1" si="64"/>
        <v>268625</v>
      </c>
      <c r="N140" s="152">
        <f t="shared" ca="1" si="64"/>
        <v>188225.55</v>
      </c>
      <c r="O140" s="151">
        <f t="shared" ref="O140:O142" ca="1" si="65">IF(L140&gt;0,N140*100/L140,0)</f>
        <v>54.087801724137933</v>
      </c>
      <c r="P140" s="151">
        <f t="shared" ref="P140:P142" ca="1" si="66">IF(M140&gt;0,N140*100/M140,0)</f>
        <v>70.070004653327132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348000</v>
      </c>
      <c r="M142" s="88">
        <f t="shared" ca="1" si="68"/>
        <v>268625</v>
      </c>
      <c r="N142" s="88">
        <f t="shared" ca="1" si="68"/>
        <v>188225.55</v>
      </c>
      <c r="O142" s="156">
        <f t="shared" ca="1" si="65"/>
        <v>54.087801724137933</v>
      </c>
      <c r="P142" s="156">
        <f t="shared" ca="1" si="66"/>
        <v>70.070004653327132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348000</v>
      </c>
      <c r="M144" s="167">
        <f ca="1">IFERROR(__xludf.DUMMYFUNCTION("IMPORTRANGE(""https://docs.google.com/spreadsheets/d/1Yj_ptqi66GCucihVvJfMjLAmec39IyEx_6qawtMGysU/edit?usp=sharing"",""สบก!BJ28"")"),268625)</f>
        <v>268625</v>
      </c>
      <c r="N144" s="168">
        <f ca="1">IFERROR(__xludf.DUMMYFUNCTION("IMPORTRANGE(""https://docs.google.com/spreadsheets/d/1Yj_ptqi66GCucihVvJfMjLAmec39IyEx_6qawtMGysU/edit?usp=sharing"",""สบก!BK28"")"),188225.55)</f>
        <v>188225.55</v>
      </c>
      <c r="O144" s="168">
        <f ca="1">IF(L144&gt;0,N144*100/L144,0)</f>
        <v>54.087801724137933</v>
      </c>
      <c r="P144" s="168">
        <f ca="1">IF(M144&gt;0,N144*100/M144,0)</f>
        <v>70.070004653327132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IFERROR(__xludf.DUMMYFUNCTION("IMPORTRANGE(""https://docs.google.com/spreadsheets/d/1Yj_ptqi66GCucihVvJfMjLAmec39IyEx_6qawtMGysU/edit?usp=sharing"",""สบก!BG28"")"),84000)</f>
        <v>84000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IFERROR(__xludf.DUMMYFUNCTION("IMPORTRANGE(""https://docs.google.com/spreadsheets/d/11923uPwbBZFjjGgGUA6NLw09EwE0CqkOc4q9oUmW1yo/edit?usp=sharing"",""พิษณุโลก!I74"")"),4)</f>
        <v>4</v>
      </c>
      <c r="J149" s="274">
        <f ca="1">IFERROR(__xludf.DUMMYFUNCTION("IMPORTRANGE(""https://docs.google.com/spreadsheets/d/11923uPwbBZFjjGgGUA6NLw09EwE0CqkOc4q9oUmW1yo/edit?usp=sharing"",""พิษณุโลก!J74"")"),2)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IFERROR(__xludf.DUMMYFUNCTION("IMPORTRANGE(""https://docs.google.com/spreadsheets/d/11923uPwbBZFjjGgGUA6NLw09EwE0CqkOc4q9oUmW1yo/edit?usp=sharing"",""พิษณุโลก!J84"")"),127)</f>
        <v>127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IFERROR(__xludf.DUMMYFUNCTION("IMPORTRANGE(""https://docs.google.com/spreadsheets/d/11923uPwbBZFjjGgGUA6NLw09EwE0CqkOc4q9oUmW1yo/edit?usp=sharing"",""พิษณุโลก!J85"")"),127)</f>
        <v>127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IFERROR(__xludf.DUMMYFUNCTION("IMPORTRANGE(""https://docs.google.com/spreadsheets/d/11923uPwbBZFjjGgGUA6NLw09EwE0CqkOc4q9oUmW1yo/edit?usp=sharing"",""พิษณุโลก!I89"")"),3)</f>
        <v>3</v>
      </c>
      <c r="J164" s="283">
        <f ca="1">IFERROR(__xludf.DUMMYFUNCTION("IMPORTRANGE(""https://docs.google.com/spreadsheets/d/11923uPwbBZFjjGgGUA6NLw09EwE0CqkOc4q9oUmW1yo/edit?usp=sharing"",""พิษณุโลก!J89"")"),3)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IFERROR(__xludf.DUMMYFUNCTION("IMPORTRANGE(""https://docs.google.com/spreadsheets/d/11923uPwbBZFjjGgGUA6NLw09EwE0CqkOc4q9oUmW1yo/edit?usp=sharing"",""พิษณุโลก!I101"")"),0)</f>
        <v>0</v>
      </c>
      <c r="J176" s="283">
        <f ca="1">IFERROR(__xludf.DUMMYFUNCTION("IMPORTRANGE(""https://docs.google.com/spreadsheets/d/11923uPwbBZFjjGgGUA6NLw09EwE0CqkOc4q9oUmW1yo/edit?usp=sharing"",""พิษณุโลก!J101"")"),0)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IFERROR(__xludf.DUMMYFUNCTION("IMPORTRANGE(""https://docs.google.com/spreadsheets/d/11923uPwbBZFjjGgGUA6NLw09EwE0CqkOc4q9oUmW1yo/edit?usp=sharing"",""พิษณุโลก!J113"")"),0)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IFERROR(__xludf.DUMMYFUNCTION("IMPORTRANGE(""https://docs.google.com/spreadsheets/d/11923uPwbBZFjjGgGUA6NLw09EwE0CqkOc4q9oUmW1yo/edit?usp=sharing"",""พิษณุโลก!I114"")"),50000)</f>
        <v>50000</v>
      </c>
      <c r="J189" s="283">
        <f ca="1">IFERROR(__xludf.DUMMYFUNCTION("IMPORTRANGE(""https://docs.google.com/spreadsheets/d/11923uPwbBZFjjGgGUA6NLw09EwE0CqkOc4q9oUmW1yo/edit?usp=sharing"",""พิษณุโลก!J114"")"),0)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IFERROR(__xludf.DUMMYFUNCTION("IMPORTRANGE(""https://docs.google.com/spreadsheets/d/11923uPwbBZFjjGgGUA6NLw09EwE0CqkOc4q9oUmW1yo/edit?usp=sharing"",""พิษณุโลก!J128"")"),0)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IFERROR(__xludf.DUMMYFUNCTION("IMPORTRANGE(""https://docs.google.com/spreadsheets/d/11923uPwbBZFjjGgGUA6NLw09EwE0CqkOc4q9oUmW1yo/edit?usp=sharing"",""พิษณุโลก!I129"")"),0)</f>
        <v>0</v>
      </c>
      <c r="J204" s="283">
        <f ca="1">IFERROR(__xludf.DUMMYFUNCTION("IMPORTRANGE(""https://docs.google.com/spreadsheets/d/11923uPwbBZFjjGgGUA6NLw09EwE0CqkOc4q9oUmW1yo/edit?usp=sharing"",""พิษณุโลก!J129"")"),0)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IFERROR(__xludf.DUMMYFUNCTION("IMPORTRANGE(""https://docs.google.com/spreadsheets/d/11923uPwbBZFjjGgGUA6NLw09EwE0CqkOc4q9oUmW1yo/edit?usp=sharing"",""พิษณุโลก!J143"")"),0)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IFERROR(__xludf.DUMMYFUNCTION("IMPORTRANGE(""https://docs.google.com/spreadsheets/d/11923uPwbBZFjjGgGUA6NLw09EwE0CqkOc4q9oUmW1yo/edit?usp=sharing"",""พิษณุโลก!I144"")"),0)</f>
        <v>0</v>
      </c>
      <c r="J219" s="266">
        <f ca="1">IFERROR(__xludf.DUMMYFUNCTION("IMPORTRANGE(""https://docs.google.com/spreadsheets/d/11923uPwbBZFjjGgGUA6NLw09EwE0CqkOc4q9oUmW1yo/edit?usp=sharing"",""พิษณุโลก!J144"")"),0)</f>
        <v>0</v>
      </c>
      <c r="K219" s="267">
        <f ca="1">IF(I219&gt;0,J219*100/I219,0)</f>
        <v>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IFERROR(__xludf.DUMMYFUNCTION("IMPORTRANGE(""https://docs.google.com/spreadsheets/d/11923uPwbBZFjjGgGUA6NLw09EwE0CqkOc4q9oUmW1yo/edit?usp=sharing"",""พิษณุโลก!I149"")"),0)</f>
        <v>0</v>
      </c>
      <c r="J229" s="266">
        <f ca="1">IFERROR(__xludf.DUMMYFUNCTION("IMPORTRANGE(""https://docs.google.com/spreadsheets/d/11923uPwbBZFjjGgGUA6NLw09EwE0CqkOc4q9oUmW1yo/edit?usp=sharing"",""พิษณุโลก!J149"")"),0)</f>
        <v>0</v>
      </c>
      <c r="K229" s="267">
        <f ca="1">IF(I229&gt;0,J229*100/I229,0)</f>
        <v>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IFERROR(__xludf.DUMMYFUNCTION("IMPORTRANGE(""https://docs.google.com/spreadsheets/d/11923uPwbBZFjjGgGUA6NLw09EwE0CqkOc4q9oUmW1yo/edit?usp=sharing"",""พิษณุโลก!I158"")"),0)</f>
        <v>0</v>
      </c>
      <c r="J238" s="266">
        <f ca="1">IFERROR(__xludf.DUMMYFUNCTION("IMPORTRANGE(""https://docs.google.com/spreadsheets/d/11923uPwbBZFjjGgGUA6NLw09EwE0CqkOc4q9oUmW1yo/edit?usp=sharing"",""พิษณุโลก!J158"")"),0)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IFERROR(__xludf.DUMMYFUNCTION("IMPORTRANGE(""https://docs.google.com/spreadsheets/d/11923uPwbBZFjjGgGUA6NLw09EwE0CqkOc4q9oUmW1yo/edit?usp=sharing"",""พิษณุโลก!J166"")"),0)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IFERROR(__xludf.DUMMYFUNCTION("IMPORTRANGE(""https://docs.google.com/spreadsheets/d/11923uPwbBZFjjGgGUA6NLw09EwE0CqkOc4q9oUmW1yo/edit?usp=sharing"",""พิษณุโลก!I169"")"),0)</f>
        <v>0</v>
      </c>
      <c r="J249" s="315">
        <f ca="1">IFERROR(__xludf.DUMMYFUNCTION("IMPORTRANGE(""https://docs.google.com/spreadsheets/d/11923uPwbBZFjjGgGUA6NLw09EwE0CqkOc4q9oUmW1yo/edit?usp=sharing"",""พิษณุโลก!J169"")"),0)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IFERROR(__xludf.DUMMYFUNCTION("IMPORTRANGE(""https://docs.google.com/spreadsheets/d/11923uPwbBZFjjGgGUA6NLw09EwE0CqkOc4q9oUmW1yo/edit?usp=sharing"",""พิษณุโลก!J184"")"),0)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IFERROR(__xludf.DUMMYFUNCTION("IMPORTRANGE(""https://docs.google.com/spreadsheets/d/11923uPwbBZFjjGgGUA6NLw09EwE0CqkOc4q9oUmW1yo/edit?usp=sharing"",""พิษณุโลก!I185"")"),15)</f>
        <v>15</v>
      </c>
      <c r="J270" s="315">
        <f ca="1">IFERROR(__xludf.DUMMYFUNCTION("IMPORTRANGE(""https://docs.google.com/spreadsheets/d/11923uPwbBZFjjGgGUA6NLw09EwE0CqkOc4q9oUmW1yo/edit?usp=sharing"",""พิษณุโลก!J185"")"),15)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26320</v>
      </c>
      <c r="O271" s="151">
        <f t="shared" ref="O271:O273" ca="1" si="84">IF(L271&gt;0,N271*100/L271,0)</f>
        <v>47.681159420289852</v>
      </c>
      <c r="P271" s="151">
        <f t="shared" ref="P271:P273" ca="1" si="85">IF(M271&gt;0,N271*100/M271,0)</f>
        <v>81.612403100775197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26320</v>
      </c>
      <c r="O273" s="156">
        <f t="shared" ca="1" si="84"/>
        <v>47.681159420289852</v>
      </c>
      <c r="P273" s="156">
        <f t="shared" ca="1" si="85"/>
        <v>81.612403100775197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IFERROR(__xludf.DUMMYFUNCTION("IMPORTRANGE(""https://docs.google.com/spreadsheets/d/1Yj_ptqi66GCucihVvJfMjLAmec39IyEx_6qawtMGysU/edit?usp=sharing"",""สบก!CK28"")"),32250)</f>
        <v>32250</v>
      </c>
      <c r="N275" s="168">
        <f ca="1">IFERROR(__xludf.DUMMYFUNCTION("IMPORTRANGE(""https://docs.google.com/spreadsheets/d/1Yj_ptqi66GCucihVvJfMjLAmec39IyEx_6qawtMGysU/edit?usp=sharing"",""สบก!CL28"")"),26320)</f>
        <v>26320</v>
      </c>
      <c r="O275" s="168">
        <f ca="1">IF(L275&gt;0,N275*100/L275,0)</f>
        <v>47.681159420289852</v>
      </c>
      <c r="P275" s="168">
        <f ca="1">IF(M275&gt;0,N275*100/M275,0)</f>
        <v>81.612403100775197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IFERROR(__xludf.DUMMYFUNCTION("IMPORTRANGE(""https://docs.google.com/spreadsheets/d/11923uPwbBZFjjGgGUA6NLw09EwE0CqkOc4q9oUmW1yo/edit?usp=sharing"",""พิษณุโลก!I199"")"),0)</f>
        <v>0</v>
      </c>
      <c r="J289" s="315">
        <f ca="1">IFERROR(__xludf.DUMMYFUNCTION("IMPORTRANGE(""https://docs.google.com/spreadsheets/d/11923uPwbBZFjjGgGUA6NLw09EwE0CqkOc4q9oUmW1yo/edit?usp=sharing"",""พิษณุโลก!J199"")"),0)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IFERROR(__xludf.DUMMYFUNCTION("IMPORTRANGE(""https://docs.google.com/spreadsheets/d/11923uPwbBZFjjGgGUA6NLw09EwE0CqkOc4q9oUmW1yo/edit?usp=sharing"",""พิษณุโลก!J213"")"),0)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IFERROR(__xludf.DUMMYFUNCTION("IMPORTRANGE(""https://docs.google.com/spreadsheets/d/11923uPwbBZFjjGgGUA6NLw09EwE0CqkOc4q9oUmW1yo/edit?usp=sharing"",""พิษณุโลก!I214"")"),0)</f>
        <v>0</v>
      </c>
      <c r="J309" s="332">
        <f ca="1">IFERROR(__xludf.DUMMYFUNCTION("IMPORTRANGE(""https://docs.google.com/spreadsheets/d/11923uPwbBZFjjGgGUA6NLw09EwE0CqkOc4q9oUmW1yo/edit?usp=sharing"",""พิษณุโลก!J214"")"),0)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IFERROR(__xludf.DUMMYFUNCTION("IMPORTRANGE(""https://docs.google.com/spreadsheets/d/11923uPwbBZFjjGgGUA6NLw09EwE0CqkOc4q9oUmW1yo/edit?usp=sharing"",""พิษณุโลก!J226"")"),0)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IFERROR(__xludf.DUMMYFUNCTION("IMPORTRANGE(""https://docs.google.com/spreadsheets/d/11923uPwbBZFjjGgGUA6NLw09EwE0CqkOc4q9oUmW1yo/edit?usp=sharing"",""พิษณุโลก!I228"")"),220)</f>
        <v>220</v>
      </c>
      <c r="J328" s="338">
        <f ca="1">IFERROR(__xludf.DUMMYFUNCTION("IMPORTRANGE(""https://docs.google.com/spreadsheets/d/11923uPwbBZFjjGgGUA6NLw09EwE0CqkOc4q9oUmW1yo/edit?usp=sharing"",""พิษณุโลก!J228"")"),135)</f>
        <v>135</v>
      </c>
      <c r="K328" s="316">
        <f ca="1">IF(I328&gt;0,J328*100/I328,0)</f>
        <v>61.363636363636367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508130</v>
      </c>
      <c r="N329" s="152">
        <f t="shared" ca="1" si="98"/>
        <v>406520.45</v>
      </c>
      <c r="O329" s="151">
        <f t="shared" ref="O329:O331" ca="1" si="99">IF(L329&gt;0,N329*100/L329,0)</f>
        <v>58.633039101149528</v>
      </c>
      <c r="P329" s="151">
        <f t="shared" ref="P329:P331" ca="1" si="100">IF(M329&gt;0,N329*100/M329,0)</f>
        <v>80.003237360517971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508130</v>
      </c>
      <c r="N331" s="88">
        <f t="shared" ca="1" si="102"/>
        <v>406520.45</v>
      </c>
      <c r="O331" s="156">
        <f t="shared" ca="1" si="99"/>
        <v>58.633039101149528</v>
      </c>
      <c r="P331" s="156">
        <f t="shared" ca="1" si="100"/>
        <v>80.003237360517971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IFERROR(__xludf.DUMMYFUNCTION("IMPORTRANGE(""https://docs.google.com/spreadsheets/d/1Yj_ptqi66GCucihVvJfMjLAmec39IyEx_6qawtMGysU/edit?usp=sharing"",""สบก!DL28"")"),493130)</f>
        <v>493130</v>
      </c>
      <c r="N333" s="168">
        <f ca="1">IFERROR(__xludf.DUMMYFUNCTION("IMPORTRANGE(""https://docs.google.com/spreadsheets/d/1Yj_ptqi66GCucihVvJfMjLAmec39IyEx_6qawtMGysU/edit?usp=sharing"",""สบก!DM28"")"),391520.45)</f>
        <v>391520.45</v>
      </c>
      <c r="O333" s="168">
        <f ca="1">IF(L333&gt;0,N333*100/L333,0)</f>
        <v>57.718286084943905</v>
      </c>
      <c r="P333" s="168">
        <f ca="1">IF(M333&gt;0,N333*100/M333,0)</f>
        <v>79.39497698375682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IFERROR(__xludf.DUMMYFUNCTION("IMPORTRANGE(""https://docs.google.com/spreadsheets/d/11923uPwbBZFjjGgGUA6NLw09EwE0CqkOc4q9oUmW1yo/edit?usp=sharing"",""พิษณุโลก!J234"")"),175)</f>
        <v>175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IFERROR(__xludf.DUMMYFUNCTION("IMPORTRANGE(""https://docs.google.com/spreadsheets/d/11923uPwbBZFjjGgGUA6NLw09EwE0CqkOc4q9oUmW1yo/edit?usp=sharing"",""พิษณุโลก!J235"")"),1908.52)</f>
        <v>1908.52</v>
      </c>
      <c r="K340" s="341">
        <f t="shared" ca="1" si="103"/>
        <v>93.554901960784321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IFERROR(__xludf.DUMMYFUNCTION("IMPORTRANGE(""https://docs.google.com/spreadsheets/d/11923uPwbBZFjjGgGUA6NLw09EwE0CqkOc4q9oUmW1yo/edit?usp=sharing"",""พิษณุโลก!J236"")"),232)</f>
        <v>232</v>
      </c>
      <c r="K341" s="341">
        <f t="shared" ca="1" si="103"/>
        <v>105.45454545454545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IFERROR(__xludf.DUMMYFUNCTION("IMPORTRANGE(""https://docs.google.com/spreadsheets/d/11923uPwbBZFjjGgGUA6NLw09EwE0CqkOc4q9oUmW1yo/edit?usp=sharing"",""พิษณุโลก!J237"")"),2777.67)</f>
        <v>2777.67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IFERROR(__xludf.DUMMYFUNCTION("IMPORTRANGE(""https://docs.google.com/spreadsheets/d/11923uPwbBZFjjGgGUA6NLw09EwE0CqkOc4q9oUmW1yo/edit?usp=sharing"",""พิษณุโลก!J238"")"),10)</f>
        <v>10</v>
      </c>
      <c r="K343" s="341">
        <f t="shared" ca="1" si="103"/>
        <v>4.5454545454545459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IFERROR(__xludf.DUMMYFUNCTION("IMPORTRANGE(""https://docs.google.com/spreadsheets/d/11923uPwbBZFjjGgGUA6NLw09EwE0CqkOc4q9oUmW1yo/edit?usp=sharing"",""พิษณุโลก!J239"")"),75.66)</f>
        <v>75.66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IFERROR(__xludf.DUMMYFUNCTION("IMPORTRANGE(""https://docs.google.com/spreadsheets/d/11923uPwbBZFjjGgGUA6NLw09EwE0CqkOc4q9oUmW1yo/edit?usp=sharing"",""พิษณุโลก!J240"")"),135)</f>
        <v>135</v>
      </c>
      <c r="K345" s="341">
        <f t="shared" ca="1" si="103"/>
        <v>61.363636363636367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IFERROR(__xludf.DUMMYFUNCTION("IMPORTRANGE(""https://docs.google.com/spreadsheets/d/11923uPwbBZFjjGgGUA6NLw09EwE0CqkOc4q9oUmW1yo/edit?usp=sharing"",""พิษณุโลก!J241"")"),1452.5)</f>
        <v>1452.5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IFERROR(__xludf.DUMMYFUNCTION("IMPORTRANGE(""https://docs.google.com/spreadsheets/d/11923uPwbBZFjjGgGUA6NLw09EwE0CqkOc4q9oUmW1yo/edit?usp=sharing"",""พิษณุโลก!L242"")"),2741438.91)</f>
        <v>2741438.91</v>
      </c>
      <c r="M347" s="357"/>
      <c r="N347" s="357">
        <f ca="1">IFERROR(__xludf.DUMMYFUNCTION("IMPORTRANGE(""https://docs.google.com/spreadsheets/d/11923uPwbBZFjjGgGUA6NLw09EwE0CqkOc4q9oUmW1yo/edit?usp=sharing"",""พิษณุโลก!M242"")"),620836.059999999)</f>
        <v>620836.05999999901</v>
      </c>
      <c r="O347" s="357">
        <f ca="1">+IF(L347&gt;0,N347*100/L347,0)</f>
        <v>22.646357638514694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IFERROR(__xludf.DUMMYFUNCTION("IMPORTRANGE(""https://docs.google.com/spreadsheets/d/11923uPwbBZFjjGgGUA6NLw09EwE0CqkOc4q9oUmW1yo/edit?usp=sharing"",""พิษณุโลก!M275"")"),214320.09)</f>
        <v>214320.09</v>
      </c>
      <c r="O380" s="372">
        <f ca="1">+IF(L380&gt;0,N380*100/L380,0)</f>
        <v>20.837717302531793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IFERROR(__xludf.DUMMYFUNCTION("IMPORTRANGE(""https://docs.google.com/spreadsheets/d/11923uPwbBZFjjGgGUA6NLw09EwE0CqkOc4q9oUmW1yo/edit?usp=sharing"",""พิษณุโลก!M278"")"),214320.09)</f>
        <v>214320.09</v>
      </c>
      <c r="O383" s="165">
        <f t="shared" ca="1" si="109"/>
        <v>20.837717302531793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IFERROR(__xludf.DUMMYFUNCTION("IMPORTRANGE(""https://docs.google.com/spreadsheets/d/11923uPwbBZFjjGgGUA6NLw09EwE0CqkOc4q9oUmW1yo/edit?usp=sharing"",""พิษณุโลก!M280"")"),214320.09)</f>
        <v>214320.09</v>
      </c>
      <c r="O385" s="168">
        <f t="shared" ca="1" si="109"/>
        <v>20.837717302531793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IFERROR(__xludf.DUMMYFUNCTION("IMPORTRANGE(""https://docs.google.com/spreadsheets/d/11923uPwbBZFjjGgGUA6NLw09EwE0CqkOc4q9oUmW1yo/edit?usp=sharing"",""พิษณุโลก!M283"")"),53900.09)</f>
        <v>53900.09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IFERROR(__xludf.DUMMYFUNCTION("IMPORTRANGE(""https://docs.google.com/spreadsheets/d/11923uPwbBZFjjGgGUA6NLw09EwE0CqkOc4q9oUmW1yo/edit?usp=sharing"",""พิษณุโลก!M284"")"),5400)</f>
        <v>5400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IFERROR(__xludf.DUMMYFUNCTION("IMPORTRANGE(""https://docs.google.com/spreadsheets/d/11923uPwbBZFjjGgGUA6NLw09EwE0CqkOc4q9oUmW1yo/edit?usp=sharing"",""พิษณุโลก!M296"")"),88560)</f>
        <v>88560</v>
      </c>
      <c r="O401" s="372">
        <f ca="1">+IF(L401&gt;0,N401*100/L401,0)</f>
        <v>35.098287888395689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IFERROR(__xludf.DUMMYFUNCTION("IMPORTRANGE(""https://docs.google.com/spreadsheets/d/11923uPwbBZFjjGgGUA6NLw09EwE0CqkOc4q9oUmW1yo/edit?usp=sharing"",""พิษณุโลก!M299"")"),88560)</f>
        <v>88560</v>
      </c>
      <c r="O404" s="168">
        <f t="shared" ca="1" si="112"/>
        <v>35.098287888395689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IFERROR(__xludf.DUMMYFUNCTION("IMPORTRANGE(""https://docs.google.com/spreadsheets/d/11923uPwbBZFjjGgGUA6NLw09EwE0CqkOc4q9oUmW1yo/edit?usp=sharing"",""พิษณุโลก!M301"")"),88560)</f>
        <v>88560</v>
      </c>
      <c r="O406" s="168">
        <f t="shared" ca="1" si="112"/>
        <v>35.098287888395689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IFERROR(__xludf.DUMMYFUNCTION("IMPORTRANGE(""https://docs.google.com/spreadsheets/d/11923uPwbBZFjjGgGUA6NLw09EwE0CqkOc4q9oUmW1yo/edit?usp=sharing"",""พิษณุโลก!M302"")"),88560)</f>
        <v>88560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IFERROR(__xludf.DUMMYFUNCTION("IMPORTRANGE(""https://docs.google.com/spreadsheets/d/11923uPwbBZFjjGgGUA6NLw09EwE0CqkOc4q9oUmW1yo/edit?usp=sharing"",""พิษณุโลก!M305"")"),0)</f>
        <v>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IFERROR(__xludf.DUMMYFUNCTION("IMPORTRANGE(""https://docs.google.com/spreadsheets/d/11923uPwbBZFjjGgGUA6NLw09EwE0CqkOc4q9oUmW1yo/edit?usp=sharing"",""พิษณุโลก!M330"")"),14675)</f>
        <v>14675</v>
      </c>
      <c r="O435" s="411">
        <f t="shared" ref="O435:O439" ca="1" si="114">+IF(L435&gt;0,N435*100/L435,0)</f>
        <v>14.675000000000001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IFERROR(__xludf.DUMMYFUNCTION("IMPORTRANGE(""https://docs.google.com/spreadsheets/d/11923uPwbBZFjjGgGUA6NLw09EwE0CqkOc4q9oUmW1yo/edit?usp=sharing"",""พิษณุโลก!M332"")"),14675)</f>
        <v>14675</v>
      </c>
      <c r="O437" s="168">
        <f t="shared" ca="1" si="114"/>
        <v>14.675000000000001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IFERROR(__xludf.DUMMYFUNCTION("IMPORTRANGE(""https://docs.google.com/spreadsheets/d/11923uPwbBZFjjGgGUA6NLw09EwE0CqkOc4q9oUmW1yo/edit?usp=sharing"",""พิษณุโลก!M334"")"),14675)</f>
        <v>14675</v>
      </c>
      <c r="O439" s="168">
        <f t="shared" ca="1" si="114"/>
        <v>14.675000000000001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IFERROR(__xludf.DUMMYFUNCTION("IMPORTRANGE(""https://docs.google.com/spreadsheets/d/11923uPwbBZFjjGgGUA6NLw09EwE0CqkOc4q9oUmW1yo/edit?usp=sharing"",""พิษณุโลก!M335"")"),6860)</f>
        <v>6860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IFERROR(__xludf.DUMMYFUNCTION("IMPORTRANGE(""https://docs.google.com/spreadsheets/d/11923uPwbBZFjjGgGUA6NLw09EwE0CqkOc4q9oUmW1yo/edit?usp=sharing"",""พิษณุโลก!M338"")"),7815)</f>
        <v>7815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IFERROR(__xludf.DUMMYFUNCTION("IMPORTRANGE(""https://docs.google.com/spreadsheets/d/11923uPwbBZFjjGgGUA6NLw09EwE0CqkOc4q9oUmW1yo/edit?usp=sharing"",""พิษณุโลก!L350"")"),515644.91)</f>
        <v>515644.91</v>
      </c>
      <c r="M455" s="372"/>
      <c r="N455" s="372">
        <f ca="1">IFERROR(__xludf.DUMMYFUNCTION("IMPORTRANGE(""https://docs.google.com/spreadsheets/d/11923uPwbBZFjjGgGUA6NLw09EwE0CqkOc4q9oUmW1yo/edit?usp=sharing"",""พิษณุโลก!M350"")"),130828.25)</f>
        <v>130828.25</v>
      </c>
      <c r="O455" s="372">
        <f t="shared" ref="O455:O459" ca="1" si="116">+IF(L455&gt;0,N455*100/L455,0)</f>
        <v>25.371771826468724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IFERROR(__xludf.DUMMYFUNCTION("IMPORTRANGE(""https://docs.google.com/spreadsheets/d/11923uPwbBZFjjGgGUA6NLw09EwE0CqkOc4q9oUmW1yo/edit?usp=sharing"",""พิษณุโลก!L352"")"),515644.91)</f>
        <v>515644.91</v>
      </c>
      <c r="M457" s="165"/>
      <c r="N457" s="168">
        <f ca="1">IFERROR(__xludf.DUMMYFUNCTION("IMPORTRANGE(""https://docs.google.com/spreadsheets/d/11923uPwbBZFjjGgGUA6NLw09EwE0CqkOc4q9oUmW1yo/edit?usp=sharing"",""พิษณุโลก!M352"")"),130828.25)</f>
        <v>130828.25</v>
      </c>
      <c r="O457" s="168">
        <f t="shared" ca="1" si="116"/>
        <v>25.371771826468724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IFERROR(__xludf.DUMMYFUNCTION("IMPORTRANGE(""https://docs.google.com/spreadsheets/d/11923uPwbBZFjjGgGUA6NLw09EwE0CqkOc4q9oUmW1yo/edit?usp=sharing"",""พิษณุโลก!L354"")"),515644.91)</f>
        <v>515644.91</v>
      </c>
      <c r="M459" s="168"/>
      <c r="N459" s="168">
        <f ca="1">IFERROR(__xludf.DUMMYFUNCTION("IMPORTRANGE(""https://docs.google.com/spreadsheets/d/11923uPwbBZFjjGgGUA6NLw09EwE0CqkOc4q9oUmW1yo/edit?usp=sharing"",""พิษณุโลก!M354"")"),130828.25)</f>
        <v>130828.25</v>
      </c>
      <c r="O459" s="168">
        <f t="shared" ca="1" si="116"/>
        <v>25.371771826468724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IFERROR(__xludf.DUMMYFUNCTION("IMPORTRANGE(""https://docs.google.com/spreadsheets/d/11923uPwbBZFjjGgGUA6NLw09EwE0CqkOc4q9oUmW1yo/edit?usp=sharing"",""พิษณุโลก!M357"")"),53545.25)</f>
        <v>53545.25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IFERROR(__xludf.DUMMYFUNCTION("IMPORTRANGE(""https://docs.google.com/spreadsheets/d/11923uPwbBZFjjGgGUA6NLw09EwE0CqkOc4q9oUmW1yo/edit?usp=sharing"",""พิษณุโลก!M358"")"),77283)</f>
        <v>77283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IFERROR(__xludf.DUMMYFUNCTION("IMPORTRANGE(""https://docs.google.com/spreadsheets/d/11923uPwbBZFjjGgGUA6NLw09EwE0CqkOc4q9oUmW1yo/edit?usp=sharing"",""พิษณุโลก!I359"")"),63132)</f>
        <v>63132</v>
      </c>
      <c r="J464" s="266">
        <f ca="1">IFERROR(__xludf.DUMMYFUNCTION("IMPORTRANGE(""https://docs.google.com/spreadsheets/d/11923uPwbBZFjjGgGUA6NLw09EwE0CqkOc4q9oUmW1yo/edit?usp=sharing"",""พิษณุโลก!J359"")"),0)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IFERROR(__xludf.DUMMYFUNCTION("IMPORTRANGE(""https://docs.google.com/spreadsheets/d/11923uPwbBZFjjGgGUA6NLw09EwE0CqkOc4q9oUmW1yo/edit?usp=sharing"",""พิษณุโลก!J362"")"),51945)</f>
        <v>51945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IFERROR(__xludf.DUMMYFUNCTION("IMPORTRANGE(""https://docs.google.com/spreadsheets/d/11923uPwbBZFjjGgGUA6NLw09EwE0CqkOc4q9oUmW1yo/edit?usp=sharing"",""พิษณุโลก!J363"")"),4914)</f>
        <v>4914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IFERROR(__xludf.DUMMYFUNCTION("IMPORTRANGE(""https://docs.google.com/spreadsheets/d/11923uPwbBZFjjGgGUA6NLw09EwE0CqkOc4q9oUmW1yo/edit?usp=sharing"",""พิษณุโลก!J364"")"),10409)</f>
        <v>10409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IFERROR(__xludf.DUMMYFUNCTION("IMPORTRANGE(""https://docs.google.com/spreadsheets/d/11923uPwbBZFjjGgGUA6NLw09EwE0CqkOc4q9oUmW1yo/edit?usp=sharing"",""พิษณุโลก!J365"")"),655)</f>
        <v>655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IFERROR(__xludf.DUMMYFUNCTION("IMPORTRANGE(""https://docs.google.com/spreadsheets/d/11923uPwbBZFjjGgGUA6NLw09EwE0CqkOc4q9oUmW1yo/edit?usp=sharing"",""พิษณุโลก!J368"")"),63134)</f>
        <v>63134</v>
      </c>
      <c r="K473" s="201">
        <f t="shared" ca="1" si="117"/>
        <v>100.00316796553254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IFERROR(__xludf.DUMMYFUNCTION("IMPORTRANGE(""https://docs.google.com/spreadsheets/d/11923uPwbBZFjjGgGUA6NLw09EwE0CqkOc4q9oUmW1yo/edit?usp=sharing"",""พิษณุโลก!J370"")"),53483)</f>
        <v>53483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IFERROR(__xludf.DUMMYFUNCTION("IMPORTRANGE(""https://docs.google.com/spreadsheets/d/11923uPwbBZFjjGgGUA6NLw09EwE0CqkOc4q9oUmW1yo/edit?usp=sharing"",""พิษณุโลก!J371"")"),5014)</f>
        <v>5014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IFERROR(__xludf.DUMMYFUNCTION("IMPORTRANGE(""https://docs.google.com/spreadsheets/d/11923uPwbBZFjjGgGUA6NLw09EwE0CqkOc4q9oUmW1yo/edit?usp=sharing"",""พิษณุโลก!J372"")"),8691)</f>
        <v>8691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IFERROR(__xludf.DUMMYFUNCTION("IMPORTRANGE(""https://docs.google.com/spreadsheets/d/11923uPwbBZFjjGgGUA6NLw09EwE0CqkOc4q9oUmW1yo/edit?usp=sharing"",""พิษณุโลก!J373"")"),529)</f>
        <v>529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IFERROR(__xludf.DUMMYFUNCTION("IMPORTRANGE(""https://docs.google.com/spreadsheets/d/11923uPwbBZFjjGgGUA6NLw09EwE0CqkOc4q9oUmW1yo/edit?usp=sharing"",""พิษณุโลก!J374"")"),960)</f>
        <v>960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IFERROR(__xludf.DUMMYFUNCTION("IMPORTRANGE(""https://docs.google.com/spreadsheets/d/11923uPwbBZFjjGgGUA6NLw09EwE0CqkOc4q9oUmW1yo/edit?usp=sharing"",""พิษณุโลก!J375"")"),97)</f>
        <v>97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IFERROR(__xludf.DUMMYFUNCTION("IMPORTRANGE(""https://docs.google.com/spreadsheets/d/11923uPwbBZFjjGgGUA6NLw09EwE0CqkOc4q9oUmW1yo/edit?usp=sharing"",""พิษณุโลก!J392"")"),1025)</f>
        <v>1025</v>
      </c>
      <c r="K497" s="444">
        <f t="shared" ca="1" si="117"/>
        <v>57.779030439684327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IFERROR(__xludf.DUMMYFUNCTION("IMPORTRANGE(""https://docs.google.com/spreadsheets/d/11923uPwbBZFjjGgGUA6NLw09EwE0CqkOc4q9oUmW1yo/edit?usp=sharing"",""พิษณุโลก!J393"")"),1025)</f>
        <v>1025</v>
      </c>
      <c r="K498" s="201">
        <f t="shared" ca="1" si="117"/>
        <v>57.779030439684327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IFERROR(__xludf.DUMMYFUNCTION("IMPORTRANGE(""https://docs.google.com/spreadsheets/d/11923uPwbBZFjjGgGUA6NLw09EwE0CqkOc4q9oUmW1yo/edit?usp=sharing"",""พิษณุโลก!J394"")"),64)</f>
        <v>64</v>
      </c>
      <c r="K499" s="201">
        <f t="shared" ca="1" si="117"/>
        <v>60.377358490566039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IFERROR(__xludf.DUMMYFUNCTION("IMPORTRANGE(""https://docs.google.com/spreadsheets/d/11923uPwbBZFjjGgGUA6NLw09EwE0CqkOc4q9oUmW1yo/edit?usp=sharing"",""พิษณุโลก!J395"")"),919)</f>
        <v>919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IFERROR(__xludf.DUMMYFUNCTION("IMPORTRANGE(""https://docs.google.com/spreadsheets/d/11923uPwbBZFjjGgGUA6NLw09EwE0CqkOc4q9oUmW1yo/edit?usp=sharing"",""พิษณุโลก!J396"")"),60)</f>
        <v>60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IFERROR(__xludf.DUMMYFUNCTION("IMPORTRANGE(""https://docs.google.com/spreadsheets/d/11923uPwbBZFjjGgGUA6NLw09EwE0CqkOc4q9oUmW1yo/edit?usp=sharing"",""พิษณุโลก!J397"")"),919)</f>
        <v>919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IFERROR(__xludf.DUMMYFUNCTION("IMPORTRANGE(""https://docs.google.com/spreadsheets/d/11923uPwbBZFjjGgGUA6NLw09EwE0CqkOc4q9oUmW1yo/edit?usp=sharing"",""พิษณุโลก!J398"")"),60)</f>
        <v>60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IFERROR(__xludf.DUMMYFUNCTION("IMPORTRANGE(""https://docs.google.com/spreadsheets/d/11923uPwbBZFjjGgGUA6NLw09EwE0CqkOc4q9oUmW1yo/edit?usp=sharing"",""พิษณุโลก!I411"")"),0)</f>
        <v>0</v>
      </c>
      <c r="J516" s="266">
        <f ca="1">IFERROR(__xludf.DUMMYFUNCTION("IMPORTRANGE(""https://docs.google.com/spreadsheets/d/11923uPwbBZFjjGgGUA6NLw09EwE0CqkOc4q9oUmW1yo/edit?usp=sharing"",""พิษณุโลก!J411"")"),0)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IFERROR(__xludf.DUMMYFUNCTION("IMPORTRANGE(""https://docs.google.com/spreadsheets/d/11923uPwbBZFjjGgGUA6NLw09EwE0CqkOc4q9oUmW1yo/edit?usp=sharing"",""พิษณุโลก!I412"")"),0)</f>
        <v>0</v>
      </c>
      <c r="J517" s="283">
        <f ca="1">IFERROR(__xludf.DUMMYFUNCTION("IMPORTRANGE(""https://docs.google.com/spreadsheets/d/11923uPwbBZFjjGgGUA6NLw09EwE0CqkOc4q9oUmW1yo/edit?usp=sharing"",""พิษณุโลก!J412"")"),0)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IFERROR(__xludf.DUMMYFUNCTION("IMPORTRANGE(""https://docs.google.com/spreadsheets/d/11923uPwbBZFjjGgGUA6NLw09EwE0CqkOc4q9oUmW1yo/edit?usp=sharing"",""พิษณุโลก!I413"")"),0)</f>
        <v>0</v>
      </c>
      <c r="J518" s="283">
        <f ca="1">IFERROR(__xludf.DUMMYFUNCTION("IMPORTRANGE(""https://docs.google.com/spreadsheets/d/11923uPwbBZFjjGgGUA6NLw09EwE0CqkOc4q9oUmW1yo/edit?usp=sharing"",""พิษณุโลก!J413"")"),0)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IFERROR(__xludf.DUMMYFUNCTION("IMPORTRANGE(""https://docs.google.com/spreadsheets/d/11923uPwbBZFjjGgGUA6NLw09EwE0CqkOc4q9oUmW1yo/edit?usp=sharing"",""พิษณุโลก!I420"")"),22)</f>
        <v>22</v>
      </c>
      <c r="J525" s="283">
        <f ca="1">IFERROR(__xludf.DUMMYFUNCTION("IMPORTRANGE(""https://docs.google.com/spreadsheets/d/11923uPwbBZFjjGgGUA6NLw09EwE0CqkOc4q9oUmW1yo/edit?usp=sharing"",""พิษณุโลก!J420"")"),0)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IFERROR(__xludf.DUMMYFUNCTION("IMPORTRANGE(""https://docs.google.com/spreadsheets/d/11923uPwbBZFjjGgGUA6NLw09EwE0CqkOc4q9oUmW1yo/edit?usp=sharing"",""พิษณุโลก!I421"")"),2)</f>
        <v>2</v>
      </c>
      <c r="J526" s="283">
        <f ca="1">IFERROR(__xludf.DUMMYFUNCTION("IMPORTRANGE(""https://docs.google.com/spreadsheets/d/11923uPwbBZFjjGgGUA6NLw09EwE0CqkOc4q9oUmW1yo/edit?usp=sharing"",""พิษณุโลก!J421"")"),0)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IFERROR(__xludf.DUMMYFUNCTION("IMPORTRANGE(""https://docs.google.com/spreadsheets/d/11923uPwbBZFjjGgGUA6NLw09EwE0CqkOc4q9oUmW1yo/edit?usp=sharing"",""พิษณุโลก!M428"")"),21160)</f>
        <v>21160</v>
      </c>
      <c r="O533" s="411">
        <f t="shared" ref="O533:O537" ca="1" si="118">+IF(L533&gt;0,N533*100/L533,0)</f>
        <v>61.619103086779269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IFERROR(__xludf.DUMMYFUNCTION("IMPORTRANGE(""https://docs.google.com/spreadsheets/d/11923uPwbBZFjjGgGUA6NLw09EwE0CqkOc4q9oUmW1yo/edit?usp=sharing"",""พิษณุโลก!M430"")"),21160)</f>
        <v>21160</v>
      </c>
      <c r="O535" s="168">
        <f t="shared" ca="1" si="118"/>
        <v>61.619103086779269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IFERROR(__xludf.DUMMYFUNCTION("IMPORTRANGE(""https://docs.google.com/spreadsheets/d/11923uPwbBZFjjGgGUA6NLw09EwE0CqkOc4q9oUmW1yo/edit?usp=sharing"",""พิษณุโลก!M432"")"),21160)</f>
        <v>21160</v>
      </c>
      <c r="O537" s="168">
        <f t="shared" ca="1" si="118"/>
        <v>61.619103086779269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IFERROR(__xludf.DUMMYFUNCTION("IMPORTRANGE(""https://docs.google.com/spreadsheets/d/11923uPwbBZFjjGgGUA6NLw09EwE0CqkOc4q9oUmW1yo/edit?usp=sharing"",""พิษณุโลก!M436"")"),1280)</f>
        <v>1280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IFERROR(__xludf.DUMMYFUNCTION("IMPORTRANGE(""https://docs.google.com/spreadsheets/d/11923uPwbBZFjjGgGUA6NLw09EwE0CqkOc4q9oUmW1yo/edit?usp=sharing"",""พิษณุโลก!J446"")"),4252)</f>
        <v>4252</v>
      </c>
      <c r="K551" s="410">
        <f ca="1">IF(I551&gt;0,J551*100/I551,0)</f>
        <v>47.244444444444447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IFERROR(__xludf.DUMMYFUNCTION("IMPORTRANGE(""https://docs.google.com/spreadsheets/d/11923uPwbBZFjjGgGUA6NLw09EwE0CqkOc4q9oUmW1yo/edit?usp=sharing"",""พิษณุโลก!M446"")"),118357.76)</f>
        <v>118357.75999999999</v>
      </c>
      <c r="O551" s="411">
        <f t="shared" ref="O551:O555" ca="1" si="120">+IF(L551&gt;0,N551*100/L551,0)</f>
        <v>22.164374531835207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IFERROR(__xludf.DUMMYFUNCTION("IMPORTRANGE(""https://docs.google.com/spreadsheets/d/11923uPwbBZFjjGgGUA6NLw09EwE0CqkOc4q9oUmW1yo/edit?usp=sharing"",""พิษณุโลก!M448"")"),118357.76)</f>
        <v>118357.75999999999</v>
      </c>
      <c r="O553" s="168">
        <f t="shared" ca="1" si="120"/>
        <v>22.164374531835207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IFERROR(__xludf.DUMMYFUNCTION("IMPORTRANGE(""https://docs.google.com/spreadsheets/d/11923uPwbBZFjjGgGUA6NLw09EwE0CqkOc4q9oUmW1yo/edit?usp=sharing"",""พิษณุโลก!M450"")"),118357.76)</f>
        <v>118357.75999999999</v>
      </c>
      <c r="O555" s="168">
        <f t="shared" ca="1" si="120"/>
        <v>22.164374531835207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IFERROR(__xludf.DUMMYFUNCTION("IMPORTRANGE(""https://docs.google.com/spreadsheets/d/11923uPwbBZFjjGgGUA6NLw09EwE0CqkOc4q9oUmW1yo/edit?usp=sharing"",""พิษณุโลก!M453"")"),86167.76)</f>
        <v>86167.76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IFERROR(__xludf.DUMMYFUNCTION("IMPORTRANGE(""https://docs.google.com/spreadsheets/d/11923uPwbBZFjjGgGUA6NLw09EwE0CqkOc4q9oUmW1yo/edit?usp=sharing"",""พิษณุโลก!M454"")"),32190)</f>
        <v>32190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IFERROR(__xludf.DUMMYFUNCTION("IMPORTRANGE(""https://docs.google.com/spreadsheets/d/11923uPwbBZFjjGgGUA6NLw09EwE0CqkOc4q9oUmW1yo/edit?usp=sharing"",""พิษณุโลก!J455"")"),4252)</f>
        <v>4252</v>
      </c>
      <c r="K560" s="223">
        <f t="shared" ref="K560:K561" ca="1" si="121">IF(I560&gt;0,J560*100/I560,0)</f>
        <v>47.244444444444447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IFERROR(__xludf.DUMMYFUNCTION("IMPORTRANGE(""https://docs.google.com/spreadsheets/d/11923uPwbBZFjjGgGUA6NLw09EwE0CqkOc4q9oUmW1yo/edit?usp=sharing"",""พิษณุโลก!J456"")"),273)</f>
        <v>273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IFERROR(__xludf.DUMMYFUNCTION("IMPORTRANGE(""https://docs.google.com/spreadsheets/d/11923uPwbBZFjjGgGUA6NLw09EwE0CqkOc4q9oUmW1yo/edit?usp=sharing"",""พิษณุโลก!J459"")"),1796)</f>
        <v>1796</v>
      </c>
      <c r="K564" s="371">
        <f ca="1">IF(I564&gt;0,J564*100/I564,0)</f>
        <v>119.73333333333333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IFERROR(__xludf.DUMMYFUNCTION("IMPORTRANGE(""https://docs.google.com/spreadsheets/d/11923uPwbBZFjjGgGUA6NLw09EwE0CqkOc4q9oUmW1yo/edit?usp=sharing"",""พิษณุโลก!M459"")"),32294.96)</f>
        <v>32294.959999999999</v>
      </c>
      <c r="O564" s="372">
        <f t="shared" ref="O564:O568" ca="1" si="122">+IF(L564&gt;0,N564*100/L564,0)</f>
        <v>22.389739323349971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IFERROR(__xludf.DUMMYFUNCTION("IMPORTRANGE(""https://docs.google.com/spreadsheets/d/11923uPwbBZFjjGgGUA6NLw09EwE0CqkOc4q9oUmW1yo/edit?usp=sharing"",""พิษณุโลก!M461"")"),32294.96)</f>
        <v>32294.959999999999</v>
      </c>
      <c r="O566" s="168">
        <f t="shared" ca="1" si="122"/>
        <v>22.389739323349971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IFERROR(__xludf.DUMMYFUNCTION("IMPORTRANGE(""https://docs.google.com/spreadsheets/d/11923uPwbBZFjjGgGUA6NLw09EwE0CqkOc4q9oUmW1yo/edit?usp=sharing"",""พิษณุโลก!M463"")"),32294.96)</f>
        <v>32294.959999999999</v>
      </c>
      <c r="O568" s="168">
        <f t="shared" ca="1" si="122"/>
        <v>22.389739323349971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IFERROR(__xludf.DUMMYFUNCTION("IMPORTRANGE(""https://docs.google.com/spreadsheets/d/11923uPwbBZFjjGgGUA6NLw09EwE0CqkOc4q9oUmW1yo/edit?usp=sharing"",""พิษณุโลก!M466"")"),30794.96)</f>
        <v>30794.959999999999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IFERROR(__xludf.DUMMYFUNCTION("IMPORTRANGE(""https://docs.google.com/spreadsheets/d/11923uPwbBZFjjGgGUA6NLw09EwE0CqkOc4q9oUmW1yo/edit?usp=sharing"",""พิษณุโลก!J468"")"),1796)</f>
        <v>1796</v>
      </c>
      <c r="K573" s="201">
        <f ca="1">IF(I573&gt;0,J573*100/I573,0)</f>
        <v>119.73333333333333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IFERROR(__xludf.DUMMYFUNCTION("IMPORTRANGE(""https://docs.google.com/spreadsheets/d/11923uPwbBZFjjGgGUA6NLw09EwE0CqkOc4q9oUmW1yo/edit?usp=sharing"",""พิษณุโลก!J471"")"),206)</f>
        <v>206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IFERROR(__xludf.DUMMYFUNCTION("IMPORTRANGE(""https://docs.google.com/spreadsheets/d/11923uPwbBZFjjGgGUA6NLw09EwE0CqkOc4q9oUmW1yo/edit?usp=sharing"",""พิษณุโลก!J472"")"),1577)</f>
        <v>1577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IFERROR(__xludf.DUMMYFUNCTION("IMPORTRANGE(""https://docs.google.com/spreadsheets/d/11923uPwbBZFjjGgGUA6NLw09EwE0CqkOc4q9oUmW1yo/edit?usp=sharing"",""พิษณุโลก!J473"")"),13)</f>
        <v>13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IFERROR(__xludf.DUMMYFUNCTION("IMPORTRANGE(""https://docs.google.com/spreadsheets/d/11923uPwbBZFjjGgGUA6NLw09EwE0CqkOc4q9oUmW1yo/edit?usp=sharing"",""พิษณุโลก!J475"")"),3)</f>
        <v>3</v>
      </c>
      <c r="K580" s="371">
        <f ca="1">IF(I580&gt;0,J580*100/I580,0)</f>
        <v>12.5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IFERROR(__xludf.DUMMYFUNCTION("IMPORTRANGE(""https://docs.google.com/spreadsheets/d/11923uPwbBZFjjGgGUA6NLw09EwE0CqkOc4q9oUmW1yo/edit?usp=sharing"",""พิษณุโลก!M475"")"),240)</f>
        <v>240</v>
      </c>
      <c r="O580" s="372">
        <f t="shared" ref="O580:O584" ca="1" si="124">+IF(L580&gt;0,N580*100/L580,0)</f>
        <v>0.1877581674802854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IFERROR(__xludf.DUMMYFUNCTION("IMPORTRANGE(""https://docs.google.com/spreadsheets/d/11923uPwbBZFjjGgGUA6NLw09EwE0CqkOc4q9oUmW1yo/edit?usp=sharing"",""พิษณุโลก!M477"")"),240)</f>
        <v>240</v>
      </c>
      <c r="O582" s="168">
        <f t="shared" ca="1" si="124"/>
        <v>0.1877581674802854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IFERROR(__xludf.DUMMYFUNCTION("IMPORTRANGE(""https://docs.google.com/spreadsheets/d/11923uPwbBZFjjGgGUA6NLw09EwE0CqkOc4q9oUmW1yo/edit?usp=sharing"",""พิษณุโลก!M479"")"),240)</f>
        <v>240</v>
      </c>
      <c r="O584" s="168">
        <f t="shared" ca="1" si="124"/>
        <v>0.1877581674802854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IFERROR(__xludf.DUMMYFUNCTION("IMPORTRANGE(""https://docs.google.com/spreadsheets/d/11923uPwbBZFjjGgGUA6NLw09EwE0CqkOc4q9oUmW1yo/edit?usp=sharing"",""พิษณุโลก!M483"")"),240)</f>
        <v>240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IFERROR(__xludf.DUMMYFUNCTION("IMPORTRANGE(""https://docs.google.com/spreadsheets/d/11923uPwbBZFjjGgGUA6NLw09EwE0CqkOc4q9oUmW1yo/edit?usp=sharing"",""พิษณุโลก!J484"")"),5)</f>
        <v>5</v>
      </c>
      <c r="K589" s="163">
        <f t="shared" ref="K589:K596" ca="1" si="125">IF(I589&gt;0,J589*100/I589,0)</f>
        <v>20.833333333333332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IFERROR(__xludf.DUMMYFUNCTION("IMPORTRANGE(""https://docs.google.com/spreadsheets/d/11923uPwbBZFjjGgGUA6NLw09EwE0CqkOc4q9oUmW1yo/edit?usp=sharing"",""พิษณุโลก!J485"")"),28.33)</f>
        <v>28.33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IFERROR(__xludf.DUMMYFUNCTION("IMPORTRANGE(""https://docs.google.com/spreadsheets/d/11923uPwbBZFjjGgGUA6NLw09EwE0CqkOc4q9oUmW1yo/edit?usp=sharing"",""พิษณุโลก!I491"")"),0)</f>
        <v>0</v>
      </c>
      <c r="J596" s="240">
        <f ca="1">IFERROR(__xludf.DUMMYFUNCTION("IMPORTRANGE(""https://docs.google.com/spreadsheets/d/11923uPwbBZFjjGgGUA6NLw09EwE0CqkOc4q9oUmW1yo/edit?usp=sharing"",""พิษณุโลก!J491"")"),4.76)</f>
        <v>4.76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7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8.791208791208792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0">
        <f ca="1">IFERROR(__xludf.DUMMYFUNCTION("IMPORTRANGE(""https://docs.google.com/spreadsheets/d/11923uPwbBZFjjGgGUA6NLw09EwE0CqkOc4q9oUmW1yo/edit?usp=sharing"",""พิษณุโลก!J523"")"),1702590.01)</f>
        <v>1702590.01</v>
      </c>
      <c r="K628" s="341">
        <f t="shared" ref="K628:K635" ca="1" si="129">IF(I628&gt;0,J628*100/I628,0)</f>
        <v>43.766101507238218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IFERROR(__xludf.DUMMYFUNCTION("IMPORTRANGE(""https://docs.google.com/spreadsheets/d/11923uPwbBZFjjGgGUA6NLw09EwE0CqkOc4q9oUmW1yo/edit?usp=sharing"",""พิษณุโลก!I524"")"),290)</f>
        <v>290</v>
      </c>
      <c r="J629" s="340">
        <f ca="1">IFERROR(__xludf.DUMMYFUNCTION("IMPORTRANGE(""https://docs.google.com/spreadsheets/d/11923uPwbBZFjjGgGUA6NLw09EwE0CqkOc4q9oUmW1yo/edit?usp=sharing"",""พิษณุโลก!J524"")"),125)</f>
        <v>125</v>
      </c>
      <c r="K629" s="341">
        <f t="shared" ca="1" si="129"/>
        <v>43.103448275862071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0">
        <f ca="1">IFERROR(__xludf.DUMMYFUNCTION("IMPORTRANGE(""https://docs.google.com/spreadsheets/d/11923uPwbBZFjjGgGUA6NLw09EwE0CqkOc4q9oUmW1yo/edit?usp=sharing"",""พิษณุโลก!J525"")"),416523.64)</f>
        <v>416523.64</v>
      </c>
      <c r="K630" s="341">
        <f t="shared" ca="1" si="129"/>
        <v>16.259452182964424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IFERROR(__xludf.DUMMYFUNCTION("IMPORTRANGE(""https://docs.google.com/spreadsheets/d/11923uPwbBZFjjGgGUA6NLw09EwE0CqkOc4q9oUmW1yo/edit?usp=sharing"",""พิษณุโลก!I526"")"),116)</f>
        <v>116</v>
      </c>
      <c r="J631" s="340">
        <f ca="1">IFERROR(__xludf.DUMMYFUNCTION("IMPORTRANGE(""https://docs.google.com/spreadsheets/d/11923uPwbBZFjjGgGUA6NLw09EwE0CqkOc4q9oUmW1yo/edit?usp=sharing"",""พิษณุโลก!J526"")"),85)</f>
        <v>85</v>
      </c>
      <c r="K631" s="341">
        <f t="shared" ca="1" si="129"/>
        <v>73.275862068965523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IFERROR(__xludf.DUMMYFUNCTION("IMPORTRANGE(""https://docs.google.com/spreadsheets/d/11923uPwbBZFjjGgGUA6NLw09EwE0CqkOc4q9oUmW1yo/edit?usp=sharing"",""พิษณุโลก!I527"")"),0)</f>
        <v>0</v>
      </c>
      <c r="J632" s="340">
        <f ca="1">IFERROR(__xludf.DUMMYFUNCTION("IMPORTRANGE(""https://docs.google.com/spreadsheets/d/11923uPwbBZFjjGgGUA6NLw09EwE0CqkOc4q9oUmW1yo/edit?usp=sharing"",""พิษณุโลก!J527"")"),0)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IFERROR(__xludf.DUMMYFUNCTION("IMPORTRANGE(""https://docs.google.com/spreadsheets/d/11923uPwbBZFjjGgGUA6NLw09EwE0CqkOc4q9oUmW1yo/edit?usp=sharing"",""พิษณุโลก!I528"")"),0)</f>
        <v>0</v>
      </c>
      <c r="J633" s="340">
        <f ca="1">IFERROR(__xludf.DUMMYFUNCTION("IMPORTRANGE(""https://docs.google.com/spreadsheets/d/11923uPwbBZFjjGgGUA6NLw09EwE0CqkOc4q9oUmW1yo/edit?usp=sharing"",""พิษณุโลก!J528"")"),0)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IFERROR(__xludf.DUMMYFUNCTION("IMPORTRANGE(""https://docs.google.com/spreadsheets/d/11923uPwbBZFjjGgGUA6NLw09EwE0CqkOc4q9oUmW1yo/edit?usp=sharing"",""พิษณุโลก!I529"")"),4000000)</f>
        <v>4000000</v>
      </c>
      <c r="J634" s="340">
        <f ca="1">IFERROR(__xludf.DUMMYFUNCTION("IMPORTRANGE(""https://docs.google.com/spreadsheets/d/11923uPwbBZFjjGgGUA6NLw09EwE0CqkOc4q9oUmW1yo/edit?usp=sharing"",""พิษณุโลก!J529"")"),0)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IFERROR(__xludf.DUMMYFUNCTION("IMPORTRANGE(""https://docs.google.com/spreadsheets/d/11923uPwbBZFjjGgGUA6NLw09EwE0CqkOc4q9oUmW1yo/edit?usp=sharing"",""พิษณุโลก!I530"")"),100)</f>
        <v>100</v>
      </c>
      <c r="J635" s="504">
        <f ca="1">IFERROR(__xludf.DUMMYFUNCTION("IMPORTRANGE(""https://docs.google.com/spreadsheets/d/11923uPwbBZFjjGgGUA6NLw09EwE0CqkOc4q9oUmW1yo/edit?usp=sharing"",""พิษณุโลก!J530"")"),0)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256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7023960.6699999999</v>
      </c>
      <c r="M8" s="23">
        <f t="shared" ca="1" si="0"/>
        <v>3103630</v>
      </c>
      <c r="N8" s="23">
        <f t="shared" ca="1" si="0"/>
        <v>3350453.08</v>
      </c>
      <c r="O8" s="22">
        <f t="shared" ref="O8:O16" ca="1" si="1">IF(L8&gt;0,N8*100/L8,0)</f>
        <v>47.700339415482517</v>
      </c>
      <c r="P8" s="22">
        <f t="shared" ref="P8:P16" ca="1" si="2">IF(M8&gt;0,N8*100/M8,0)</f>
        <v>107.95272245725167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7023960.6699999999</v>
      </c>
      <c r="M10" s="30">
        <f t="shared" ca="1" si="4"/>
        <v>3103630</v>
      </c>
      <c r="N10" s="30">
        <f t="shared" ca="1" si="4"/>
        <v>3350453.08</v>
      </c>
      <c r="O10" s="29">
        <f t="shared" ca="1" si="1"/>
        <v>47.700339415482517</v>
      </c>
      <c r="P10" s="29">
        <f t="shared" ca="1" si="2"/>
        <v>107.95272245725167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6790660.6699999999</v>
      </c>
      <c r="M12" s="39">
        <f t="shared" ca="1" si="6"/>
        <v>2870330</v>
      </c>
      <c r="N12" s="39">
        <f t="shared" ca="1" si="6"/>
        <v>3117153.08</v>
      </c>
      <c r="O12" s="39">
        <f t="shared" ca="1" si="1"/>
        <v>45.903531798769734</v>
      </c>
      <c r="P12" s="39">
        <f t="shared" ca="1" si="2"/>
        <v>108.59911856824824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1991600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4799060.67</v>
      </c>
      <c r="M14" s="39">
        <f t="shared" si="8"/>
        <v>0</v>
      </c>
      <c r="N14" s="39">
        <f t="shared" ca="1" si="8"/>
        <v>1090173.96</v>
      </c>
      <c r="O14" s="39">
        <f t="shared" ca="1" si="1"/>
        <v>22.716402958081378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3960805</v>
      </c>
      <c r="M18" s="23">
        <f t="shared" ca="1" si="11"/>
        <v>3103630</v>
      </c>
      <c r="N18" s="23">
        <f t="shared" ca="1" si="11"/>
        <v>2260279.12</v>
      </c>
      <c r="O18" s="22">
        <f t="shared" ref="O18:O20" ca="1" si="12">IF(L18&gt;0,N18*100/L18,0)</f>
        <v>57.066154986170737</v>
      </c>
      <c r="P18" s="22">
        <f t="shared" ref="P18:P26" ca="1" si="13">IF(M18&gt;0,N18*100/M18,0)</f>
        <v>72.826951666274653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3960805</v>
      </c>
      <c r="M20" s="30">
        <f t="shared" ca="1" si="15"/>
        <v>3103630</v>
      </c>
      <c r="N20" s="30">
        <f t="shared" ca="1" si="15"/>
        <v>2260279.12</v>
      </c>
      <c r="O20" s="29">
        <f t="shared" ca="1" si="12"/>
        <v>57.066154986170737</v>
      </c>
      <c r="P20" s="29">
        <f t="shared" ca="1" si="13"/>
        <v>72.826951666274653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3727505</v>
      </c>
      <c r="M22" s="42">
        <f t="shared" ca="1" si="18"/>
        <v>2870330</v>
      </c>
      <c r="N22" s="39">
        <f t="shared" ca="1" si="18"/>
        <v>2026979.12</v>
      </c>
      <c r="O22" s="39">
        <f t="shared" ca="1" si="17"/>
        <v>54.378977895401881</v>
      </c>
      <c r="P22" s="39">
        <f t="shared" ca="1" si="13"/>
        <v>70.618330296516433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1991600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1735905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3063155.67</v>
      </c>
      <c r="M28" s="23">
        <f t="shared" si="23"/>
        <v>0</v>
      </c>
      <c r="N28" s="23">
        <f t="shared" ca="1" si="23"/>
        <v>1090173.96</v>
      </c>
      <c r="O28" s="22">
        <f t="shared" ref="O28:O30" ca="1" si="24">IF(L28&gt;0,N28*100/L28,0)</f>
        <v>35.589897394930638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3063155.67</v>
      </c>
      <c r="M30" s="30">
        <f t="shared" si="27"/>
        <v>0</v>
      </c>
      <c r="N30" s="30">
        <f t="shared" ca="1" si="27"/>
        <v>1090173.96</v>
      </c>
      <c r="O30" s="29">
        <f t="shared" ca="1" si="24"/>
        <v>35.589897394930638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3063155.67</v>
      </c>
      <c r="M32" s="39">
        <f t="shared" si="30"/>
        <v>0</v>
      </c>
      <c r="N32" s="39">
        <f t="shared" ca="1" si="30"/>
        <v>1090173.96</v>
      </c>
      <c r="O32" s="39">
        <f t="shared" ca="1" si="29"/>
        <v>35.589897394930638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3063155.67</v>
      </c>
      <c r="M34" s="39">
        <f t="shared" si="32"/>
        <v>0</v>
      </c>
      <c r="N34" s="39">
        <f t="shared" ca="1" si="32"/>
        <v>1090173.96</v>
      </c>
      <c r="O34" s="39">
        <f t="shared" ca="1" si="29"/>
        <v>35.589897394930638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3960805</v>
      </c>
      <c r="M37" s="55">
        <f t="shared" ca="1" si="33"/>
        <v>3103630</v>
      </c>
      <c r="N37" s="55">
        <f t="shared" ca="1" si="33"/>
        <v>2260279.12</v>
      </c>
      <c r="O37" s="56">
        <f t="shared" ca="1" si="29"/>
        <v>57.066154986170737</v>
      </c>
      <c r="P37" s="56">
        <f t="shared" ca="1" si="25"/>
        <v>72.826951666274653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776100</v>
      </c>
      <c r="N41" s="79">
        <f t="shared" ca="1" si="34"/>
        <v>670272.35</v>
      </c>
      <c r="O41" s="78">
        <f t="shared" ref="O41:O43" ca="1" si="35">IF(L41&gt;0,N41*100/L41,0)</f>
        <v>68.492984876353972</v>
      </c>
      <c r="P41" s="78">
        <f t="shared" ref="P41:P43" ca="1" si="36">IF(M41&gt;0,N41*100/M41,0)</f>
        <v>86.364173431258862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776100</v>
      </c>
      <c r="N43" s="79">
        <f t="shared" ca="1" si="38"/>
        <v>670272.35</v>
      </c>
      <c r="O43" s="78">
        <f t="shared" ca="1" si="35"/>
        <v>68.492984876353972</v>
      </c>
      <c r="P43" s="78">
        <f t="shared" ca="1" si="36"/>
        <v>86.364173431258862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IFERROR(__xludf.DUMMYFUNCTION("IMPORTRANGE(""https://docs.google.com/spreadsheets/d/1Yj_ptqi66GCucihVvJfMjLAmec39IyEx_6qawtMGysU/edit?usp=sharing"",""สบก!Q29"")"),607600)</f>
        <v>607600</v>
      </c>
      <c r="N45" s="50">
        <f ca="1">IFERROR(__xludf.DUMMYFUNCTION("IMPORTRANGE(""https://docs.google.com/spreadsheets/d/1Yj_ptqi66GCucihVvJfMjLAmec39IyEx_6qawtMGysU/edit?usp=sharing"",""สบก!R29"")"),501772.35)</f>
        <v>501772.35</v>
      </c>
      <c r="O45" s="39">
        <f ca="1">IF(L45&gt;0,N45*100/L45,0)</f>
        <v>61.939556844833973</v>
      </c>
      <c r="P45" s="39">
        <f ca="1">IF(M45&gt;0,N45*100/M45,0)</f>
        <v>82.582677748518762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564000</v>
      </c>
      <c r="M53" s="121">
        <f t="shared" ca="1" si="39"/>
        <v>450440</v>
      </c>
      <c r="N53" s="121">
        <f t="shared" ca="1" si="39"/>
        <v>284840</v>
      </c>
      <c r="O53" s="120">
        <f t="shared" ref="O53:O55" ca="1" si="40">IF(L53&gt;0,N53*100/L53,0)</f>
        <v>50.50354609929078</v>
      </c>
      <c r="P53" s="120">
        <f t="shared" ref="P53:P55" ca="1" si="41">IF(M53&gt;0,N53*100/M53,0)</f>
        <v>63.235947073972113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564000</v>
      </c>
      <c r="M55" s="121">
        <f t="shared" ca="1" si="43"/>
        <v>450440</v>
      </c>
      <c r="N55" s="121">
        <f t="shared" ca="1" si="43"/>
        <v>284840</v>
      </c>
      <c r="O55" s="120">
        <f t="shared" ca="1" si="40"/>
        <v>50.50354609929078</v>
      </c>
      <c r="P55" s="120">
        <f t="shared" ca="1" si="41"/>
        <v>63.235947073972113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564000</v>
      </c>
      <c r="M57" s="50">
        <f ca="1">IFERROR(__xludf.DUMMYFUNCTION("IMPORTRANGE(""https://docs.google.com/spreadsheets/d/1Yj_ptqi66GCucihVvJfMjLAmec39IyEx_6qawtMGysU/edit?usp=sharing"",""สบก!Z29"")"),450440)</f>
        <v>450440</v>
      </c>
      <c r="N57" s="50">
        <f ca="1">IFERROR(__xludf.DUMMYFUNCTION("IMPORTRANGE(""https://docs.google.com/spreadsheets/d/1Yj_ptqi66GCucihVvJfMjLAmec39IyEx_6qawtMGysU/edit?usp=sharing"",""สบก!AA29"")"),284840)</f>
        <v>284840</v>
      </c>
      <c r="O57" s="39">
        <f ca="1">IF(L57&gt;0,N57*100/L57,0)</f>
        <v>50.50354609929078</v>
      </c>
      <c r="P57" s="39">
        <f ca="1">IF(M57&gt;0,N57*100/M57,0)</f>
        <v>63.235947073972113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IFERROR(__xludf.DUMMYFUNCTION("IMPORTRANGE(""https://docs.google.com/spreadsheets/d/1Yj_ptqi66GCucihVvJfMjLAmec39IyEx_6qawtMGysU/edit?usp=sharing"",""สบก!V29"")"),564000)</f>
        <v>564000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577500</v>
      </c>
      <c r="M66" s="152">
        <f t="shared" ca="1" si="45"/>
        <v>470320</v>
      </c>
      <c r="N66" s="152">
        <f t="shared" ca="1" si="45"/>
        <v>279842.77</v>
      </c>
      <c r="O66" s="151">
        <f t="shared" ref="O66:O68" ca="1" si="46">IF(L66&gt;0,N66*100/L66,0)</f>
        <v>48.45762251082251</v>
      </c>
      <c r="P66" s="151">
        <f t="shared" ref="P66:P68" ca="1" si="47">IF(M66&gt;0,N66*100/M66,0)</f>
        <v>59.500503912229973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577500</v>
      </c>
      <c r="M68" s="88">
        <f t="shared" ca="1" si="49"/>
        <v>470320</v>
      </c>
      <c r="N68" s="88">
        <f t="shared" ca="1" si="49"/>
        <v>279842.77</v>
      </c>
      <c r="O68" s="156">
        <f t="shared" ca="1" si="46"/>
        <v>48.45762251082251</v>
      </c>
      <c r="P68" s="156">
        <f t="shared" ca="1" si="47"/>
        <v>59.500503912229973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IFERROR(__xludf.DUMMYFUNCTION("IMPORTRANGE(""https://docs.google.com/spreadsheets/d/1Yj_ptqi66GCucihVvJfMjLAmec39IyEx_6qawtMGysU/edit?usp=sharing"",""สบก!AI29"")"),470320)</f>
        <v>470320</v>
      </c>
      <c r="N70" s="168">
        <f ca="1">IFERROR(__xludf.DUMMYFUNCTION("IMPORTRANGE(""https://docs.google.com/spreadsheets/d/1Yj_ptqi66GCucihVvJfMjLAmec39IyEx_6qawtMGysU/edit?usp=sharing"",""สบก!AJ29"")"),279842.77)</f>
        <v>279842.77</v>
      </c>
      <c r="O70" s="168">
        <f ca="1">IF(L70&gt;0,N70*100/L70,0)</f>
        <v>48.45762251082251</v>
      </c>
      <c r="P70" s="168">
        <f ca="1">IF(M70&gt;0,N70*100/M70,0)</f>
        <v>59.500503912229973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IFERROR(__xludf.DUMMYFUNCTION("IMPORTRANGE(""https://docs.google.com/spreadsheets/d/11923uPwbBZFjjGgGUA6NLw09EwE0CqkOc4q9oUmW1yo/edit?usp=sharing"",""เพชรบูรณ์!I28"")"),0)</f>
        <v>0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IFERROR(__xludf.DUMMYFUNCTION("IMPORTRANGE(""https://docs.google.com/spreadsheets/d/11923uPwbBZFjjGgGUA6NLw09EwE0CqkOc4q9oUmW1yo/edit?usp=sharing"",""เพชรบูรณ์!J50"")"),0)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60510</v>
      </c>
      <c r="O118" s="151">
        <f t="shared" ref="O118:O120" ca="1" si="59">IF(L118&gt;0,N118*100/L118,0)</f>
        <v>73.398835516739453</v>
      </c>
      <c r="P118" s="151">
        <f t="shared" ref="P118:P120" ca="1" si="60">IF(M118&gt;0,N118*100/M118,0)</f>
        <v>73.398835516739453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60510</v>
      </c>
      <c r="O120" s="156">
        <f t="shared" ca="1" si="59"/>
        <v>73.398835516739453</v>
      </c>
      <c r="P120" s="156">
        <f t="shared" ca="1" si="60"/>
        <v>73.398835516739453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IFERROR(__xludf.DUMMYFUNCTION("IMPORTRANGE(""https://docs.google.com/spreadsheets/d/1Yj_ptqi66GCucihVvJfMjLAmec39IyEx_6qawtMGysU/edit?usp=sharing"",""สบก!BA29"")"),82440)</f>
        <v>82440</v>
      </c>
      <c r="N122" s="168">
        <f ca="1">IFERROR(__xludf.DUMMYFUNCTION("IMPORTRANGE(""https://docs.google.com/spreadsheets/d/1Yj_ptqi66GCucihVvJfMjLAmec39IyEx_6qawtMGysU/edit?usp=sharing"",""สบก!BB29"")"),60510)</f>
        <v>60510</v>
      </c>
      <c r="O122" s="168">
        <f ca="1">IF(L122&gt;0,N122*100/L122,0)</f>
        <v>73.398835516739453</v>
      </c>
      <c r="P122" s="168">
        <f ca="1">IF(M122&gt;0,N122*100/M122,0)</f>
        <v>73.398835516739453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IFERROR(__xludf.DUMMYFUNCTION("IMPORTRANGE(""https://docs.google.com/spreadsheets/d/1Yj_ptqi66GCucihVvJfMjLAmec39IyEx_6qawtMGysU/edit?usp=sharing"",""สบก!AX29"")"),82440)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257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IFERROR(__xludf.DUMMYFUNCTION("IMPORTRANGE(""https://docs.google.com/spreadsheets/d/11923uPwbBZFjjGgGUA6NLw09EwE0CqkOc4q9oUmW1yo/edit?usp=sharing"",""เพชรบูรณ์!J65"")"),0)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IFERROR(__xludf.DUMMYFUNCTION("IMPORTRANGE(""https://docs.google.com/spreadsheets/d/11923uPwbBZFjjGgGUA6NLw09EwE0CqkOc4q9oUmW1yo/edit?usp=sharing"",""เพชรบูรณ์!I68"")"),15)</f>
        <v>15</v>
      </c>
      <c r="J138" s="266">
        <f ca="1">IFERROR(__xludf.DUMMYFUNCTION("IMPORTRANGE(""https://docs.google.com/spreadsheets/d/11923uPwbBZFjjGgGUA6NLw09EwE0CqkOc4q9oUmW1yo/edit?usp=sharing"",""เพชรบูรณ์!J68"")"),15)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254700</v>
      </c>
      <c r="M140" s="152">
        <f t="shared" ca="1" si="64"/>
        <v>185625</v>
      </c>
      <c r="N140" s="152">
        <f t="shared" ca="1" si="64"/>
        <v>132730</v>
      </c>
      <c r="O140" s="151">
        <f t="shared" ref="O140:O142" ca="1" si="65">IF(L140&gt;0,N140*100/L140,0)</f>
        <v>52.112288967412645</v>
      </c>
      <c r="P140" s="151">
        <f t="shared" ref="P140:P142" ca="1" si="66">IF(M140&gt;0,N140*100/M140,0)</f>
        <v>71.504377104377099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254700</v>
      </c>
      <c r="M142" s="88">
        <f t="shared" ca="1" si="68"/>
        <v>185625</v>
      </c>
      <c r="N142" s="88">
        <f t="shared" ca="1" si="68"/>
        <v>132730</v>
      </c>
      <c r="O142" s="156">
        <f t="shared" ca="1" si="65"/>
        <v>52.112288967412645</v>
      </c>
      <c r="P142" s="156">
        <f t="shared" ca="1" si="66"/>
        <v>71.504377104377099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254700</v>
      </c>
      <c r="M144" s="167">
        <f ca="1">IFERROR(__xludf.DUMMYFUNCTION("IMPORTRANGE(""https://docs.google.com/spreadsheets/d/1Yj_ptqi66GCucihVvJfMjLAmec39IyEx_6qawtMGysU/edit?usp=sharing"",""สบก!BJ29"")"),185625)</f>
        <v>185625</v>
      </c>
      <c r="N144" s="168">
        <f ca="1">IFERROR(__xludf.DUMMYFUNCTION("IMPORTRANGE(""https://docs.google.com/spreadsheets/d/1Yj_ptqi66GCucihVvJfMjLAmec39IyEx_6qawtMGysU/edit?usp=sharing"",""สบก!BK29"")"),132730)</f>
        <v>132730</v>
      </c>
      <c r="O144" s="168">
        <f ca="1">IF(L144&gt;0,N144*100/L144,0)</f>
        <v>52.112288967412645</v>
      </c>
      <c r="P144" s="168">
        <f ca="1">IF(M144&gt;0,N144*100/M144,0)</f>
        <v>71.504377104377099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IFERROR(__xludf.DUMMYFUNCTION("IMPORTRANGE(""https://docs.google.com/spreadsheets/d/1Yj_ptqi66GCucihVvJfMjLAmec39IyEx_6qawtMGysU/edit?usp=sharing"",""สบก!BG29"")"),122700)</f>
        <v>122700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IFERROR(__xludf.DUMMYFUNCTION("IMPORTRANGE(""https://docs.google.com/spreadsheets/d/11923uPwbBZFjjGgGUA6NLw09EwE0CqkOc4q9oUmW1yo/edit?usp=sharing"",""เพชรบูรณ์!I74"")"),4)</f>
        <v>4</v>
      </c>
      <c r="J149" s="274">
        <f ca="1">IFERROR(__xludf.DUMMYFUNCTION("IMPORTRANGE(""https://docs.google.com/spreadsheets/d/11923uPwbBZFjjGgGUA6NLw09EwE0CqkOc4q9oUmW1yo/edit?usp=sharing"",""เพชรบูรณ์!J74"")"),2)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IFERROR(__xludf.DUMMYFUNCTION("IMPORTRANGE(""https://docs.google.com/spreadsheets/d/11923uPwbBZFjjGgGUA6NLw09EwE0CqkOc4q9oUmW1yo/edit?usp=sharing"",""เพชรบูรณ์!J84"")"),123)</f>
        <v>123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IFERROR(__xludf.DUMMYFUNCTION("IMPORTRANGE(""https://docs.google.com/spreadsheets/d/11923uPwbBZFjjGgGUA6NLw09EwE0CqkOc4q9oUmW1yo/edit?usp=sharing"",""เพชรบูรณ์!J85"")"),123)</f>
        <v>123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IFERROR(__xludf.DUMMYFUNCTION("IMPORTRANGE(""https://docs.google.com/spreadsheets/d/11923uPwbBZFjjGgGUA6NLw09EwE0CqkOc4q9oUmW1yo/edit?usp=sharing"",""เพชรบูรณ์!J88"")"),0)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IFERROR(__xludf.DUMMYFUNCTION("IMPORTRANGE(""https://docs.google.com/spreadsheets/d/11923uPwbBZFjjGgGUA6NLw09EwE0CqkOc4q9oUmW1yo/edit?usp=sharing"",""เพชรบูรณ์!I89"")"),2)</f>
        <v>2</v>
      </c>
      <c r="J164" s="283">
        <f ca="1">IFERROR(__xludf.DUMMYFUNCTION("IMPORTRANGE(""https://docs.google.com/spreadsheets/d/11923uPwbBZFjjGgGUA6NLw09EwE0CqkOc4q9oUmW1yo/edit?usp=sharing"",""เพชรบูรณ์!J89"")"),2)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IFERROR(__xludf.DUMMYFUNCTION("IMPORTRANGE(""https://docs.google.com/spreadsheets/d/11923uPwbBZFjjGgGUA6NLw09EwE0CqkOc4q9oUmW1yo/edit?usp=sharing"",""เพชรบูรณ์!J100"")"),0)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IFERROR(__xludf.DUMMYFUNCTION("IMPORTRANGE(""https://docs.google.com/spreadsheets/d/11923uPwbBZFjjGgGUA6NLw09EwE0CqkOc4q9oUmW1yo/edit?usp=sharing"",""เพชรบูรณ์!I101"")"),2)</f>
        <v>2</v>
      </c>
      <c r="J176" s="283">
        <f ca="1">IFERROR(__xludf.DUMMYFUNCTION("IMPORTRANGE(""https://docs.google.com/spreadsheets/d/11923uPwbBZFjjGgGUA6NLw09EwE0CqkOc4q9oUmW1yo/edit?usp=sharing"",""เพชรบูรณ์!J101"")"),1)</f>
        <v>1</v>
      </c>
      <c r="K176" s="284">
        <f ca="1">IF(I176&gt;0,J176*100/I176,0)</f>
        <v>50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IFERROR(__xludf.DUMMYFUNCTION("IMPORTRANGE(""https://docs.google.com/spreadsheets/d/11923uPwbBZFjjGgGUA6NLw09EwE0CqkOc4q9oUmW1yo/edit?usp=sharing"",""เพชรบูรณ์!J110"")"),1)</f>
        <v>1</v>
      </c>
      <c r="K185" s="223">
        <f t="shared" ref="K185:K186" ca="1" si="69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IFERROR(__xludf.DUMMYFUNCTION("IMPORTRANGE(""https://docs.google.com/spreadsheets/d/11923uPwbBZFjjGgGUA6NLw09EwE0CqkOc4q9oUmW1yo/edit?usp=sharing"",""เพชรบูรณ์!J111"")"),1)</f>
        <v>1</v>
      </c>
      <c r="K186" s="223">
        <f t="shared" ca="1" si="69"/>
        <v>50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IFERROR(__xludf.DUMMYFUNCTION("IMPORTRANGE(""https://docs.google.com/spreadsheets/d/11923uPwbBZFjjGgGUA6NLw09EwE0CqkOc4q9oUmW1yo/edit?usp=sharing"",""เพชรบูรณ์!J113"")"),0)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IFERROR(__xludf.DUMMYFUNCTION("IMPORTRANGE(""https://docs.google.com/spreadsheets/d/11923uPwbBZFjjGgGUA6NLw09EwE0CqkOc4q9oUmW1yo/edit?usp=sharing"",""เพชรบูรณ์!I114"")"),128000)</f>
        <v>128000</v>
      </c>
      <c r="J189" s="283">
        <f ca="1">IFERROR(__xludf.DUMMYFUNCTION("IMPORTRANGE(""https://docs.google.com/spreadsheets/d/11923uPwbBZFjjGgGUA6NLw09EwE0CqkOc4q9oUmW1yo/edit?usp=sharing"",""เพชรบูรณ์!J114"")"),0)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IFERROR(__xludf.DUMMYFUNCTION("IMPORTRANGE(""https://docs.google.com/spreadsheets/d/11923uPwbBZFjjGgGUA6NLw09EwE0CqkOc4q9oUmW1yo/edit?usp=sharing"",""เพชรบูรณ์!J128"")"),0)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IFERROR(__xludf.DUMMYFUNCTION("IMPORTRANGE(""https://docs.google.com/spreadsheets/d/11923uPwbBZFjjGgGUA6NLw09EwE0CqkOc4q9oUmW1yo/edit?usp=sharing"",""เพชรบูรณ์!I129"")"),0)</f>
        <v>0</v>
      </c>
      <c r="J204" s="283">
        <f ca="1">IFERROR(__xludf.DUMMYFUNCTION("IMPORTRANGE(""https://docs.google.com/spreadsheets/d/11923uPwbBZFjjGgGUA6NLw09EwE0CqkOc4q9oUmW1yo/edit?usp=sharing"",""เพชรบูรณ์!J129"")"),0)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IFERROR(__xludf.DUMMYFUNCTION("IMPORTRANGE(""https://docs.google.com/spreadsheets/d/11923uPwbBZFjjGgGUA6NLw09EwE0CqkOc4q9oUmW1yo/edit?usp=sharing"",""เพชรบูรณ์!J143"")"),0)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IFERROR(__xludf.DUMMYFUNCTION("IMPORTRANGE(""https://docs.google.com/spreadsheets/d/11923uPwbBZFjjGgGUA6NLw09EwE0CqkOc4q9oUmW1yo/edit?usp=sharing"",""เพชรบูรณ์!I144"")"),15)</f>
        <v>15</v>
      </c>
      <c r="J219" s="266">
        <f ca="1">IFERROR(__xludf.DUMMYFUNCTION("IMPORTRANGE(""https://docs.google.com/spreadsheets/d/11923uPwbBZFjjGgGUA6NLw09EwE0CqkOc4q9oUmW1yo/edit?usp=sharing"",""เพชรบูรณ์!J144"")"),15)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IFERROR(__xludf.DUMMYFUNCTION("IMPORTRANGE(""https://docs.google.com/spreadsheets/d/11923uPwbBZFjjGgGUA6NLw09EwE0CqkOc4q9oUmW1yo/edit?usp=sharing"",""เพชรบูรณ์!I149"")"),15)</f>
        <v>15</v>
      </c>
      <c r="J229" s="266">
        <f ca="1">IFERROR(__xludf.DUMMYFUNCTION("IMPORTRANGE(""https://docs.google.com/spreadsheets/d/11923uPwbBZFjjGgGUA6NLw09EwE0CqkOc4q9oUmW1yo/edit?usp=sharing"",""เพชรบูรณ์!J149"")"),15)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IFERROR(__xludf.DUMMYFUNCTION("IMPORTRANGE(""https://docs.google.com/spreadsheets/d/11923uPwbBZFjjGgGUA6NLw09EwE0CqkOc4q9oUmW1yo/edit?usp=sharing"",""เพชรบูรณ์!J157"")"),0)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IFERROR(__xludf.DUMMYFUNCTION("IMPORTRANGE(""https://docs.google.com/spreadsheets/d/11923uPwbBZFjjGgGUA6NLw09EwE0CqkOc4q9oUmW1yo/edit?usp=sharing"",""เพชรบูรณ์!I158"")"),0)</f>
        <v>0</v>
      </c>
      <c r="J238" s="266">
        <f ca="1">IFERROR(__xludf.DUMMYFUNCTION("IMPORTRANGE(""https://docs.google.com/spreadsheets/d/11923uPwbBZFjjGgGUA6NLw09EwE0CqkOc4q9oUmW1yo/edit?usp=sharing"",""เพชรบูรณ์!J158"")"),0)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IFERROR(__xludf.DUMMYFUNCTION("IMPORTRANGE(""https://docs.google.com/spreadsheets/d/11923uPwbBZFjjGgGUA6NLw09EwE0CqkOc4q9oUmW1yo/edit?usp=sharing"",""เพชรบูรณ์!J166"")"),0)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IFERROR(__xludf.DUMMYFUNCTION("IMPORTRANGE(""https://docs.google.com/spreadsheets/d/11923uPwbBZFjjGgGUA6NLw09EwE0CqkOc4q9oUmW1yo/edit?usp=sharing"",""เพชรบูรณ์!I169"")"),25)</f>
        <v>25</v>
      </c>
      <c r="J249" s="315">
        <f ca="1">IFERROR(__xludf.DUMMYFUNCTION("IMPORTRANGE(""https://docs.google.com/spreadsheets/d/11923uPwbBZFjjGgGUA6NLw09EwE0CqkOc4q9oUmW1yo/edit?usp=sharing"",""เพชรบูรณ์!J169"")"),25)</f>
        <v>25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102624</v>
      </c>
      <c r="O250" s="151">
        <f t="shared" ref="O250:O252" ca="1" si="78">IF(L250&gt;0,N250*100/L250,0)</f>
        <v>51.569849246231158</v>
      </c>
      <c r="P250" s="151">
        <f t="shared" ref="P250:P252" ca="1" si="79">IF(M250&gt;0,N250*100/M250,0)</f>
        <v>57.979661016949152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177000</v>
      </c>
      <c r="N252" s="88">
        <f t="shared" ca="1" si="81"/>
        <v>102624</v>
      </c>
      <c r="O252" s="156">
        <f t="shared" ca="1" si="78"/>
        <v>51.569849246231158</v>
      </c>
      <c r="P252" s="156">
        <f t="shared" ca="1" si="79"/>
        <v>57.979661016949152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IFERROR(__xludf.DUMMYFUNCTION("IMPORTRANGE(""https://docs.google.com/spreadsheets/d/1Yj_ptqi66GCucihVvJfMjLAmec39IyEx_6qawtMGysU/edit?usp=sharing"",""สบก!CB29"")"),177000)</f>
        <v>177000</v>
      </c>
      <c r="N254" s="168">
        <f ca="1">IFERROR(__xludf.DUMMYFUNCTION("IMPORTRANGE(""https://docs.google.com/spreadsheets/d/1Yj_ptqi66GCucihVvJfMjLAmec39IyEx_6qawtMGysU/edit?usp=sharing"",""สบก!CC29"")"),102624)</f>
        <v>102624</v>
      </c>
      <c r="O254" s="168">
        <f ca="1">IF(L254&gt;0,N254*100/L254,0)</f>
        <v>51.569849246231158</v>
      </c>
      <c r="P254" s="168">
        <f ca="1">IF(M254&gt;0,N254*100/M254,0)</f>
        <v>57.979661016949152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IFERROR(__xludf.DUMMYFUNCTION("IMPORTRANGE(""https://docs.google.com/spreadsheets/d/11923uPwbBZFjjGgGUA6NLw09EwE0CqkOc4q9oUmW1yo/edit?usp=sharing"",""เพชรบูรณ์!J184"")"),0)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IFERROR(__xludf.DUMMYFUNCTION("IMPORTRANGE(""https://docs.google.com/spreadsheets/d/11923uPwbBZFjjGgGUA6NLw09EwE0CqkOc4q9oUmW1yo/edit?usp=sharing"",""เพชรบูรณ์!I185"")"),20)</f>
        <v>20</v>
      </c>
      <c r="J270" s="315">
        <f ca="1">IFERROR(__xludf.DUMMYFUNCTION("IMPORTRANGE(""https://docs.google.com/spreadsheets/d/11923uPwbBZFjjGgGUA6NLw09EwE0CqkOc4q9oUmW1yo/edit?usp=sharing"",""เพชรบูรณ์!J185"")"),20)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33000</v>
      </c>
      <c r="N271" s="152">
        <f t="shared" ca="1" si="83"/>
        <v>33000</v>
      </c>
      <c r="O271" s="151">
        <f t="shared" ref="O271:O273" ca="1" si="84">IF(L271&gt;0,N271*100/L271,0)</f>
        <v>44.776119402985074</v>
      </c>
      <c r="P271" s="151">
        <f t="shared" ref="P271:P273" ca="1" si="85">IF(M271&gt;0,N271*100/M271,0)</f>
        <v>100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33000</v>
      </c>
      <c r="N273" s="88">
        <f t="shared" ca="1" si="87"/>
        <v>33000</v>
      </c>
      <c r="O273" s="156">
        <f t="shared" ca="1" si="84"/>
        <v>44.776119402985074</v>
      </c>
      <c r="P273" s="156">
        <f t="shared" ca="1" si="85"/>
        <v>100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IFERROR(__xludf.DUMMYFUNCTION("IMPORTRANGE(""https://docs.google.com/spreadsheets/d/1Yj_ptqi66GCucihVvJfMjLAmec39IyEx_6qawtMGysU/edit?usp=sharing"",""สบก!CK29"")"),33000)</f>
        <v>33000</v>
      </c>
      <c r="N275" s="168">
        <f ca="1">IFERROR(__xludf.DUMMYFUNCTION("IMPORTRANGE(""https://docs.google.com/spreadsheets/d/1Yj_ptqi66GCucihVvJfMjLAmec39IyEx_6qawtMGysU/edit?usp=sharing"",""สบก!CL29"")"),33000)</f>
        <v>33000</v>
      </c>
      <c r="O275" s="168">
        <f ca="1">IF(L275&gt;0,N275*100/L275,0)</f>
        <v>44.776119402985074</v>
      </c>
      <c r="P275" s="168">
        <f ca="1">IF(M275&gt;0,N275*100/M275,0)</f>
        <v>100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IFERROR(__xludf.DUMMYFUNCTION("IMPORTRANGE(""https://docs.google.com/spreadsheets/d/11923uPwbBZFjjGgGUA6NLw09EwE0CqkOc4q9oUmW1yo/edit?usp=sharing"",""เพชรบูรณ์!J197"")"),0)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IFERROR(__xludf.DUMMYFUNCTION("IMPORTRANGE(""https://docs.google.com/spreadsheets/d/11923uPwbBZFjjGgGUA6NLw09EwE0CqkOc4q9oUmW1yo/edit?usp=sharing"",""เพชรบูรณ์!I199"")"),0)</f>
        <v>0</v>
      </c>
      <c r="J289" s="315">
        <f ca="1">IFERROR(__xludf.DUMMYFUNCTION("IMPORTRANGE(""https://docs.google.com/spreadsheets/d/11923uPwbBZFjjGgGUA6NLw09EwE0CqkOc4q9oUmW1yo/edit?usp=sharing"",""เพชรบูรณ์!J199"")"),0)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IFERROR(__xludf.DUMMYFUNCTION("IMPORTRANGE(""https://docs.google.com/spreadsheets/d/11923uPwbBZFjjGgGUA6NLw09EwE0CqkOc4q9oUmW1yo/edit?usp=sharing"",""เพชรบูรณ์!J213"")"),0)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IFERROR(__xludf.DUMMYFUNCTION("IMPORTRANGE(""https://docs.google.com/spreadsheets/d/11923uPwbBZFjjGgGUA6NLw09EwE0CqkOc4q9oUmW1yo/edit?usp=sharing"",""เพชรบูรณ์!I214"")"),0)</f>
        <v>0</v>
      </c>
      <c r="J309" s="332">
        <f ca="1">IFERROR(__xludf.DUMMYFUNCTION("IMPORTRANGE(""https://docs.google.com/spreadsheets/d/11923uPwbBZFjjGgGUA6NLw09EwE0CqkOc4q9oUmW1yo/edit?usp=sharing"",""เพชรบูรณ์!J214"")"),0)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IFERROR(__xludf.DUMMYFUNCTION("IMPORTRANGE(""https://docs.google.com/spreadsheets/d/11923uPwbBZFjjGgGUA6NLw09EwE0CqkOc4q9oUmW1yo/edit?usp=sharing"",""เพชรบูรณ์!J226"")"),0)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IFERROR(__xludf.DUMMYFUNCTION("IMPORTRANGE(""https://docs.google.com/spreadsheets/d/11923uPwbBZFjjGgGUA6NLw09EwE0CqkOc4q9oUmW1yo/edit?usp=sharing"",""เพชรบูรณ์!I228"")"),610)</f>
        <v>610</v>
      </c>
      <c r="J328" s="338">
        <f ca="1">IFERROR(__xludf.DUMMYFUNCTION("IMPORTRANGE(""https://docs.google.com/spreadsheets/d/11923uPwbBZFjjGgGUA6NLw09EwE0CqkOc4q9oUmW1yo/edit?usp=sharing"",""เพชรบูรณ์!J228"")"),129)</f>
        <v>129</v>
      </c>
      <c r="K328" s="316">
        <f ca="1">IF(I328&gt;0,J328*100/I328,0)</f>
        <v>21.147540983606557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907580</v>
      </c>
      <c r="N329" s="152">
        <f t="shared" ca="1" si="98"/>
        <v>675335</v>
      </c>
      <c r="O329" s="151">
        <f t="shared" ref="O329:O331" ca="1" si="99">IF(L329&gt;0,N329*100/L329,0)</f>
        <v>55.824805330070923</v>
      </c>
      <c r="P329" s="151">
        <f t="shared" ref="P329:P331" ca="1" si="100">IF(M329&gt;0,N329*100/M329,0)</f>
        <v>74.410520284713186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907580</v>
      </c>
      <c r="N331" s="88">
        <f t="shared" ca="1" si="102"/>
        <v>675335</v>
      </c>
      <c r="O331" s="156">
        <f t="shared" ca="1" si="99"/>
        <v>55.824805330070923</v>
      </c>
      <c r="P331" s="156">
        <f t="shared" ca="1" si="100"/>
        <v>74.410520284713186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IFERROR(__xludf.DUMMYFUNCTION("IMPORTRANGE(""https://docs.google.com/spreadsheets/d/1Yj_ptqi66GCucihVvJfMjLAmec39IyEx_6qawtMGysU/edit?usp=sharing"",""สบก!DL29"")"),842780)</f>
        <v>842780</v>
      </c>
      <c r="N333" s="168">
        <f ca="1">IFERROR(__xludf.DUMMYFUNCTION("IMPORTRANGE(""https://docs.google.com/spreadsheets/d/1Yj_ptqi66GCucihVvJfMjLAmec39IyEx_6qawtMGysU/edit?usp=sharing"",""สบก!DM29"")"),610535)</f>
        <v>610535</v>
      </c>
      <c r="O333" s="168">
        <f ca="1">IF(L333&gt;0,N333*100/L333,0)</f>
        <v>53.324628364805143</v>
      </c>
      <c r="P333" s="168">
        <f ca="1">IF(M333&gt;0,N333*100/M333,0)</f>
        <v>72.442986307221332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IFERROR(__xludf.DUMMYFUNCTION("IMPORTRANGE(""https://docs.google.com/spreadsheets/d/11923uPwbBZFjjGgGUA6NLw09EwE0CqkOc4q9oUmW1yo/edit?usp=sharing"",""เพชรบูรณ์!J234"")"),300)</f>
        <v>300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IFERROR(__xludf.DUMMYFUNCTION("IMPORTRANGE(""https://docs.google.com/spreadsheets/d/11923uPwbBZFjjGgGUA6NLw09EwE0CqkOc4q9oUmW1yo/edit?usp=sharing"",""เพชรบูรณ์!J235"")"),3303.85)</f>
        <v>3303.85</v>
      </c>
      <c r="K340" s="341">
        <f t="shared" ca="1" si="103"/>
        <v>55.808277027027025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IFERROR(__xludf.DUMMYFUNCTION("IMPORTRANGE(""https://docs.google.com/spreadsheets/d/11923uPwbBZFjjGgGUA6NLw09EwE0CqkOc4q9oUmW1yo/edit?usp=sharing"",""เพชรบูรณ์!J236"")"),410)</f>
        <v>410</v>
      </c>
      <c r="K341" s="341">
        <f t="shared" ca="1" si="103"/>
        <v>67.213114754098356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IFERROR(__xludf.DUMMYFUNCTION("IMPORTRANGE(""https://docs.google.com/spreadsheets/d/11923uPwbBZFjjGgGUA6NLw09EwE0CqkOc4q9oUmW1yo/edit?usp=sharing"",""เพชรบูรณ์!J237"")"),5753.12999999999)</f>
        <v>5753.1299999999901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1">
        <f t="shared" ca="1" si="103"/>
        <v>6.2295081967213113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IFERROR(__xludf.DUMMYFUNCTION("IMPORTRANGE(""https://docs.google.com/spreadsheets/d/11923uPwbBZFjjGgGUA6NLw09EwE0CqkOc4q9oUmW1yo/edit?usp=sharing"",""เพชรบูรณ์!J240"")"),129)</f>
        <v>129</v>
      </c>
      <c r="K345" s="341">
        <f t="shared" ca="1" si="103"/>
        <v>21.147540983606557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IFERROR(__xludf.DUMMYFUNCTION("IMPORTRANGE(""https://docs.google.com/spreadsheets/d/11923uPwbBZFjjGgGUA6NLw09EwE0CqkOc4q9oUmW1yo/edit?usp=sharing"",""เพชรบูรณ์!J241"")"),2043.54)</f>
        <v>2043.54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IFERROR(__xludf.DUMMYFUNCTION("IMPORTRANGE(""https://docs.google.com/spreadsheets/d/11923uPwbBZFjjGgGUA6NLw09EwE0CqkOc4q9oUmW1yo/edit?usp=sharing"",""เพชรบูรณ์!L242"")"),3063155.67)</f>
        <v>3063155.67</v>
      </c>
      <c r="M347" s="357"/>
      <c r="N347" s="357">
        <f ca="1">IFERROR(__xludf.DUMMYFUNCTION("IMPORTRANGE(""https://docs.google.com/spreadsheets/d/11923uPwbBZFjjGgGUA6NLw09EwE0CqkOc4q9oUmW1yo/edit?usp=sharing"",""เพชรบูรณ์!M242"")"),1090173.96)</f>
        <v>1090173.96</v>
      </c>
      <c r="O347" s="357">
        <f ca="1">+IF(L347&gt;0,N347*100/L347,0)</f>
        <v>35.589897394930638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IFERROR(__xludf.DUMMYFUNCTION("IMPORTRANGE(""https://docs.google.com/spreadsheets/d/11923uPwbBZFjjGgGUA6NLw09EwE0CqkOc4q9oUmW1yo/edit?usp=sharing"",""เพชรบูรณ์!M244"")"),217440)</f>
        <v>217440</v>
      </c>
      <c r="O349" s="372">
        <f ca="1">+IF(L349&gt;0,N349*100/L349,0)</f>
        <v>32.740577898905336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IFERROR(__xludf.DUMMYFUNCTION("IMPORTRANGE(""https://docs.google.com/spreadsheets/d/11923uPwbBZFjjGgGUA6NLw09EwE0CqkOc4q9oUmW1yo/edit?usp=sharing"",""เพชรบูรณ์!M247"")"),217440)</f>
        <v>217440</v>
      </c>
      <c r="O352" s="165">
        <f t="shared" ca="1" si="105"/>
        <v>32.740577898905336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IFERROR(__xludf.DUMMYFUNCTION("IMPORTRANGE(""https://docs.google.com/spreadsheets/d/11923uPwbBZFjjGgGUA6NLw09EwE0CqkOc4q9oUmW1yo/edit?usp=sharing"",""เพชรบูรณ์!M249"")"),217440)</f>
        <v>217440</v>
      </c>
      <c r="O354" s="168">
        <f t="shared" ca="1" si="105"/>
        <v>32.740577898905336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IFERROR(__xludf.DUMMYFUNCTION("IMPORTRANGE(""https://docs.google.com/spreadsheets/d/11923uPwbBZFjjGgGUA6NLw09EwE0CqkOc4q9oUmW1yo/edit?usp=sharing"",""เพชรบูรณ์!M250"")"),117510)</f>
        <v>117510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IFERROR(__xludf.DUMMYFUNCTION("IMPORTRANGE(""https://docs.google.com/spreadsheets/d/11923uPwbBZFjjGgGUA6NLw09EwE0CqkOc4q9oUmW1yo/edit?usp=sharing"",""เพชรบูรณ์!M252"")"),65248)</f>
        <v>65248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IFERROR(__xludf.DUMMYFUNCTION("IMPORTRANGE(""https://docs.google.com/spreadsheets/d/11923uPwbBZFjjGgGUA6NLw09EwE0CqkOc4q9oUmW1yo/edit?usp=sharing"",""เพชรบูรณ์!M253"")"),34682)</f>
        <v>34682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IFERROR(__xludf.DUMMYFUNCTION("IMPORTRANGE(""https://docs.google.com/spreadsheets/d/11923uPwbBZFjjGgGUA6NLw09EwE0CqkOc4q9oUmW1yo/edit?usp=sharing"",""เพชรบูรณ์!M275"")"),247921)</f>
        <v>247921</v>
      </c>
      <c r="O380" s="372">
        <f ca="1">+IF(L380&gt;0,N380*100/L380,0)</f>
        <v>24.104635787344922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IFERROR(__xludf.DUMMYFUNCTION("IMPORTRANGE(""https://docs.google.com/spreadsheets/d/11923uPwbBZFjjGgGUA6NLw09EwE0CqkOc4q9oUmW1yo/edit?usp=sharing"",""เพชรบูรณ์!M278"")"),247921)</f>
        <v>247921</v>
      </c>
      <c r="O383" s="165">
        <f t="shared" ca="1" si="109"/>
        <v>24.104635787344922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IFERROR(__xludf.DUMMYFUNCTION("IMPORTRANGE(""https://docs.google.com/spreadsheets/d/11923uPwbBZFjjGgGUA6NLw09EwE0CqkOc4q9oUmW1yo/edit?usp=sharing"",""เพชรบูรณ์!M280"")"),247921)</f>
        <v>247921</v>
      </c>
      <c r="O385" s="168">
        <f t="shared" ca="1" si="109"/>
        <v>24.104635787344922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IFERROR(__xludf.DUMMYFUNCTION("IMPORTRANGE(""https://docs.google.com/spreadsheets/d/11923uPwbBZFjjGgGUA6NLw09EwE0CqkOc4q9oUmW1yo/edit?usp=sharing"",""เพชรบูรณ์!M281"")"),163028)</f>
        <v>163028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IFERROR(__xludf.DUMMYFUNCTION("IMPORTRANGE(""https://docs.google.com/spreadsheets/d/11923uPwbBZFjjGgGUA6NLw09EwE0CqkOc4q9oUmW1yo/edit?usp=sharing"",""เพชรบูรณ์!M283"")"),65248)</f>
        <v>65248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IFERROR(__xludf.DUMMYFUNCTION("IMPORTRANGE(""https://docs.google.com/spreadsheets/d/11923uPwbBZFjjGgGUA6NLw09EwE0CqkOc4q9oUmW1yo/edit?usp=sharing"",""เพชรบูรณ์!M284"")"),19645)</f>
        <v>19645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IFERROR(__xludf.DUMMYFUNCTION("IMPORTRANGE(""https://docs.google.com/spreadsheets/d/11923uPwbBZFjjGgGUA6NLw09EwE0CqkOc4q9oUmW1yo/edit?usp=sharing"",""เพชรบูรณ์!M296"")"),152125)</f>
        <v>152125</v>
      </c>
      <c r="O401" s="372">
        <f ca="1">+IF(L401&gt;0,N401*100/L401,0)</f>
        <v>62.208636623865218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IFERROR(__xludf.DUMMYFUNCTION("IMPORTRANGE(""https://docs.google.com/spreadsheets/d/11923uPwbBZFjjGgGUA6NLw09EwE0CqkOc4q9oUmW1yo/edit?usp=sharing"",""เพชรบูรณ์!M299"")"),152125)</f>
        <v>152125</v>
      </c>
      <c r="O404" s="168">
        <f t="shared" ca="1" si="112"/>
        <v>62.208636623865218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IFERROR(__xludf.DUMMYFUNCTION("IMPORTRANGE(""https://docs.google.com/spreadsheets/d/11923uPwbBZFjjGgGUA6NLw09EwE0CqkOc4q9oUmW1yo/edit?usp=sharing"",""เพชรบูรณ์!M301"")"),152125)</f>
        <v>152125</v>
      </c>
      <c r="O406" s="168">
        <f t="shared" ca="1" si="112"/>
        <v>62.208636623865218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IFERROR(__xludf.DUMMYFUNCTION("IMPORTRANGE(""https://docs.google.com/spreadsheets/d/11923uPwbBZFjjGgGUA6NLw09EwE0CqkOc4q9oUmW1yo/edit?usp=sharing"",""เพชรบูรณ์!M302"")"),107405)</f>
        <v>107405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IFERROR(__xludf.DUMMYFUNCTION("IMPORTRANGE(""https://docs.google.com/spreadsheets/d/11923uPwbBZFjjGgGUA6NLw09EwE0CqkOc4q9oUmW1yo/edit?usp=sharing"",""เพชรบูรณ์!M303"")"),37500)</f>
        <v>37500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IFERROR(__xludf.DUMMYFUNCTION("IMPORTRANGE(""https://docs.google.com/spreadsheets/d/11923uPwbBZFjjGgGUA6NLw09EwE0CqkOc4q9oUmW1yo/edit?usp=sharing"",""เพชรบูรณ์!M305"")"),7220)</f>
        <v>7220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IFERROR(__xludf.DUMMYFUNCTION("IMPORTRANGE(""https://docs.google.com/spreadsheets/d/11923uPwbBZFjjGgGUA6NLw09EwE0CqkOc4q9oUmW1yo/edit?usp=sharing"",""เพชรบูรณ์!M330"")"),118269.5)</f>
        <v>118269.5</v>
      </c>
      <c r="O435" s="411">
        <f t="shared" ref="O435:O439" ca="1" si="114">+IF(L435&gt;0,N435*100/L435,0)</f>
        <v>73.005864197530869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IFERROR(__xludf.DUMMYFUNCTION("IMPORTRANGE(""https://docs.google.com/spreadsheets/d/11923uPwbBZFjjGgGUA6NLw09EwE0CqkOc4q9oUmW1yo/edit?usp=sharing"",""เพชรบูรณ์!M332"")"),118269.5)</f>
        <v>118269.5</v>
      </c>
      <c r="O437" s="168">
        <f t="shared" ca="1" si="114"/>
        <v>73.005864197530869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IFERROR(__xludf.DUMMYFUNCTION("IMPORTRANGE(""https://docs.google.com/spreadsheets/d/11923uPwbBZFjjGgGUA6NLw09EwE0CqkOc4q9oUmW1yo/edit?usp=sharing"",""เพชรบูรณ์!M334"")"),118269.5)</f>
        <v>118269.5</v>
      </c>
      <c r="O439" s="168">
        <f t="shared" ca="1" si="114"/>
        <v>73.005864197530869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IFERROR(__xludf.DUMMYFUNCTION("IMPORTRANGE(""https://docs.google.com/spreadsheets/d/11923uPwbBZFjjGgGUA6NLw09EwE0CqkOc4q9oUmW1yo/edit?usp=sharing"",""เพชรบูรณ์!M335"")"),93159.5)</f>
        <v>93159.5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IFERROR(__xludf.DUMMYFUNCTION("IMPORTRANGE(""https://docs.google.com/spreadsheets/d/11923uPwbBZFjjGgGUA6NLw09EwE0CqkOc4q9oUmW1yo/edit?usp=sharing"",""เพชรบูรณ์!M338"")"),25110)</f>
        <v>25110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IFERROR(__xludf.DUMMYFUNCTION("IMPORTRANGE(""https://docs.google.com/spreadsheets/d/11923uPwbBZFjjGgGUA6NLw09EwE0CqkOc4q9oUmW1yo/edit?usp=sharing"",""เพชรบูรณ์!L350"")"),418175.67)</f>
        <v>418175.67</v>
      </c>
      <c r="M455" s="372"/>
      <c r="N455" s="372">
        <f ca="1">IFERROR(__xludf.DUMMYFUNCTION("IMPORTRANGE(""https://docs.google.com/spreadsheets/d/11923uPwbBZFjjGgGUA6NLw09EwE0CqkOc4q9oUmW1yo/edit?usp=sharing"",""เพชรบูรณ์!M350"")"),100490)</f>
        <v>100490</v>
      </c>
      <c r="O455" s="372">
        <f t="shared" ref="O455:O459" ca="1" si="116">+IF(L455&gt;0,N455*100/L455,0)</f>
        <v>24.030570692933907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IFERROR(__xludf.DUMMYFUNCTION("IMPORTRANGE(""https://docs.google.com/spreadsheets/d/11923uPwbBZFjjGgGUA6NLw09EwE0CqkOc4q9oUmW1yo/edit?usp=sharing"",""เพชรบูรณ์!L352"")"),418175.67)</f>
        <v>418175.67</v>
      </c>
      <c r="M457" s="165"/>
      <c r="N457" s="168">
        <f ca="1">IFERROR(__xludf.DUMMYFUNCTION("IMPORTRANGE(""https://docs.google.com/spreadsheets/d/11923uPwbBZFjjGgGUA6NLw09EwE0CqkOc4q9oUmW1yo/edit?usp=sharing"",""เพชรบูรณ์!M352"")"),100490)</f>
        <v>100490</v>
      </c>
      <c r="O457" s="168">
        <f t="shared" ca="1" si="116"/>
        <v>24.030570692933907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IFERROR(__xludf.DUMMYFUNCTION("IMPORTRANGE(""https://docs.google.com/spreadsheets/d/11923uPwbBZFjjGgGUA6NLw09EwE0CqkOc4q9oUmW1yo/edit?usp=sharing"",""เพชรบูรณ์!L354"")"),418175.67)</f>
        <v>418175.67</v>
      </c>
      <c r="M459" s="168"/>
      <c r="N459" s="168">
        <f ca="1">IFERROR(__xludf.DUMMYFUNCTION("IMPORTRANGE(""https://docs.google.com/spreadsheets/d/11923uPwbBZFjjGgGUA6NLw09EwE0CqkOc4q9oUmW1yo/edit?usp=sharing"",""เพชรบูรณ์!M354"")"),100490)</f>
        <v>100490</v>
      </c>
      <c r="O459" s="168">
        <f t="shared" ca="1" si="116"/>
        <v>24.030570692933907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IFERROR(__xludf.DUMMYFUNCTION("IMPORTRANGE(""https://docs.google.com/spreadsheets/d/11923uPwbBZFjjGgGUA6NLw09EwE0CqkOc4q9oUmW1yo/edit?usp=sharing"",""เพชรบูรณ์!M358"")"),100490)</f>
        <v>100490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IFERROR(__xludf.DUMMYFUNCTION("IMPORTRANGE(""https://docs.google.com/spreadsheets/d/11923uPwbBZFjjGgGUA6NLw09EwE0CqkOc4q9oUmW1yo/edit?usp=sharing"",""เพชรบูรณ์!I359"")"),55704)</f>
        <v>55704</v>
      </c>
      <c r="J464" s="266">
        <f ca="1">IFERROR(__xludf.DUMMYFUNCTION("IMPORTRANGE(""https://docs.google.com/spreadsheets/d/11923uPwbBZFjjGgGUA6NLw09EwE0CqkOc4q9oUmW1yo/edit?usp=sharing"",""เพชรบูรณ์!J359"")"),0)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IFERROR(__xludf.DUMMYFUNCTION("IMPORTRANGE(""https://docs.google.com/spreadsheets/d/11923uPwbBZFjjGgGUA6NLw09EwE0CqkOc4q9oUmW1yo/edit?usp=sharing"",""เพชรบูรณ์!J392"")"),1140)</f>
        <v>1140</v>
      </c>
      <c r="K497" s="444">
        <f t="shared" ca="1" si="117"/>
        <v>34.040011943863838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IFERROR(__xludf.DUMMYFUNCTION("IMPORTRANGE(""https://docs.google.com/spreadsheets/d/11923uPwbBZFjjGgGUA6NLw09EwE0CqkOc4q9oUmW1yo/edit?usp=sharing"",""เพชรบูรณ์!J393"")"),1140)</f>
        <v>1140</v>
      </c>
      <c r="K498" s="201">
        <f t="shared" ca="1" si="117"/>
        <v>34.040011943863838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IFERROR(__xludf.DUMMYFUNCTION("IMPORTRANGE(""https://docs.google.com/spreadsheets/d/11923uPwbBZFjjGgGUA6NLw09EwE0CqkOc4q9oUmW1yo/edit?usp=sharing"",""เพชรบูรณ์!J394"")"),92)</f>
        <v>92</v>
      </c>
      <c r="K499" s="201">
        <f t="shared" ca="1" si="117"/>
        <v>32.740213523131672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IFERROR(__xludf.DUMMYFUNCTION("IMPORTRANGE(""https://docs.google.com/spreadsheets/d/11923uPwbBZFjjGgGUA6NLw09EwE0CqkOc4q9oUmW1yo/edit?usp=sharing"",""เพชรบูรณ์!J395"")"),1106)</f>
        <v>1106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IFERROR(__xludf.DUMMYFUNCTION("IMPORTRANGE(""https://docs.google.com/spreadsheets/d/11923uPwbBZFjjGgGUA6NLw09EwE0CqkOc4q9oUmW1yo/edit?usp=sharing"",""เพชรบูรณ์!J396"")"),87)</f>
        <v>87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IFERROR(__xludf.DUMMYFUNCTION("IMPORTRANGE(""https://docs.google.com/spreadsheets/d/11923uPwbBZFjjGgGUA6NLw09EwE0CqkOc4q9oUmW1yo/edit?usp=sharing"",""เพชรบูรณ์!J397"")"),1025)</f>
        <v>1025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IFERROR(__xludf.DUMMYFUNCTION("IMPORTRANGE(""https://docs.google.com/spreadsheets/d/11923uPwbBZFjjGgGUA6NLw09EwE0CqkOc4q9oUmW1yo/edit?usp=sharing"",""เพชรบูรณ์!J398"")"),80)</f>
        <v>80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IFERROR(__xludf.DUMMYFUNCTION("IMPORTRANGE(""https://docs.google.com/spreadsheets/d/11923uPwbBZFjjGgGUA6NLw09EwE0CqkOc4q9oUmW1yo/edit?usp=sharing"",""เพชรบูรณ์!J399"")"),81)</f>
        <v>81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IFERROR(__xludf.DUMMYFUNCTION("IMPORTRANGE(""https://docs.google.com/spreadsheets/d/11923uPwbBZFjjGgGUA6NLw09EwE0CqkOc4q9oUmW1yo/edit?usp=sharing"",""เพชรบูรณ์!J400"")"),7)</f>
        <v>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IFERROR(__xludf.DUMMYFUNCTION("IMPORTRANGE(""https://docs.google.com/spreadsheets/d/11923uPwbBZFjjGgGUA6NLw09EwE0CqkOc4q9oUmW1yo/edit?usp=sharing"",""เพชรบูรณ์!J405"")"),20)</f>
        <v>20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IFERROR(__xludf.DUMMYFUNCTION("IMPORTRANGE(""https://docs.google.com/spreadsheets/d/11923uPwbBZFjjGgGUA6NLw09EwE0CqkOc4q9oUmW1yo/edit?usp=sharing"",""เพชรบูรณ์!I411"")"),0)</f>
        <v>0</v>
      </c>
      <c r="J516" s="266">
        <f ca="1">IFERROR(__xludf.DUMMYFUNCTION("IMPORTRANGE(""https://docs.google.com/spreadsheets/d/11923uPwbBZFjjGgGUA6NLw09EwE0CqkOc4q9oUmW1yo/edit?usp=sharing"",""เพชรบูรณ์!J411"")"),0)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IFERROR(__xludf.DUMMYFUNCTION("IMPORTRANGE(""https://docs.google.com/spreadsheets/d/11923uPwbBZFjjGgGUA6NLw09EwE0CqkOc4q9oUmW1yo/edit?usp=sharing"",""เพชรบูรณ์!I412"")"),0)</f>
        <v>0</v>
      </c>
      <c r="J517" s="283">
        <f ca="1">IFERROR(__xludf.DUMMYFUNCTION("IMPORTRANGE(""https://docs.google.com/spreadsheets/d/11923uPwbBZFjjGgGUA6NLw09EwE0CqkOc4q9oUmW1yo/edit?usp=sharing"",""เพชรบูรณ์!J412"")"),0)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IFERROR(__xludf.DUMMYFUNCTION("IMPORTRANGE(""https://docs.google.com/spreadsheets/d/11923uPwbBZFjjGgGUA6NLw09EwE0CqkOc4q9oUmW1yo/edit?usp=sharing"",""เพชรบูรณ์!I413"")"),0)</f>
        <v>0</v>
      </c>
      <c r="J518" s="283">
        <f ca="1">IFERROR(__xludf.DUMMYFUNCTION("IMPORTRANGE(""https://docs.google.com/spreadsheets/d/11923uPwbBZFjjGgGUA6NLw09EwE0CqkOc4q9oUmW1yo/edit?usp=sharing"",""เพชรบูรณ์!J413"")"),0)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IFERROR(__xludf.DUMMYFUNCTION("IMPORTRANGE(""https://docs.google.com/spreadsheets/d/11923uPwbBZFjjGgGUA6NLw09EwE0CqkOc4q9oUmW1yo/edit?usp=sharing"",""เพชรบูรณ์!I420"")"),0)</f>
        <v>0</v>
      </c>
      <c r="J525" s="283">
        <f ca="1">IFERROR(__xludf.DUMMYFUNCTION("IMPORTRANGE(""https://docs.google.com/spreadsheets/d/11923uPwbBZFjjGgGUA6NLw09EwE0CqkOc4q9oUmW1yo/edit?usp=sharing"",""เพชรบูรณ์!J420"")"),0)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IFERROR(__xludf.DUMMYFUNCTION("IMPORTRANGE(""https://docs.google.com/spreadsheets/d/11923uPwbBZFjjGgGUA6NLw09EwE0CqkOc4q9oUmW1yo/edit?usp=sharing"",""เพชรบูรณ์!I421"")"),0)</f>
        <v>0</v>
      </c>
      <c r="J526" s="283">
        <f ca="1">IFERROR(__xludf.DUMMYFUNCTION("IMPORTRANGE(""https://docs.google.com/spreadsheets/d/11923uPwbBZFjjGgGUA6NLw09EwE0CqkOc4q9oUmW1yo/edit?usp=sharing"",""เพชรบูรณ์!J421"")"),0)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IFERROR(__xludf.DUMMYFUNCTION("IMPORTRANGE(""https://docs.google.com/spreadsheets/d/11923uPwbBZFjjGgGUA6NLw09EwE0CqkOc4q9oUmW1yo/edit?usp=sharing"",""เพชรบูรณ์!M428"")"),17161)</f>
        <v>17161</v>
      </c>
      <c r="O533" s="411">
        <f t="shared" ref="O533:O537" ca="1" si="118">+IF(L533&gt;0,N533*100/L533,0)</f>
        <v>49.973791496796736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IFERROR(__xludf.DUMMYFUNCTION("IMPORTRANGE(""https://docs.google.com/spreadsheets/d/11923uPwbBZFjjGgGUA6NLw09EwE0CqkOc4q9oUmW1yo/edit?usp=sharing"",""เพชรบูรณ์!M430"")"),17161)</f>
        <v>17161</v>
      </c>
      <c r="O535" s="168">
        <f t="shared" ca="1" si="118"/>
        <v>49.973791496796736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IFERROR(__xludf.DUMMYFUNCTION("IMPORTRANGE(""https://docs.google.com/spreadsheets/d/11923uPwbBZFjjGgGUA6NLw09EwE0CqkOc4q9oUmW1yo/edit?usp=sharing"",""เพชรบูรณ์!M432"")"),17161)</f>
        <v>17161</v>
      </c>
      <c r="O537" s="168">
        <f t="shared" ca="1" si="118"/>
        <v>49.973791496796736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IFERROR(__xludf.DUMMYFUNCTION("IMPORTRANGE(""https://docs.google.com/spreadsheets/d/11923uPwbBZFjjGgGUA6NLw09EwE0CqkOc4q9oUmW1yo/edit?usp=sharing"",""เพชรบูรณ์!J459"")"),5748)</f>
        <v>5748</v>
      </c>
      <c r="K564" s="371">
        <f ca="1">IF(I564&gt;0,J564*100/I564,0)</f>
        <v>149.2987012987013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IFERROR(__xludf.DUMMYFUNCTION("IMPORTRANGE(""https://docs.google.com/spreadsheets/d/11923uPwbBZFjjGgGUA6NLw09EwE0CqkOc4q9oUmW1yo/edit?usp=sharing"",""เพชรบูรณ์!M459"")"),86521.4599999999)</f>
        <v>86521.459999999905</v>
      </c>
      <c r="O564" s="372">
        <f t="shared" ref="O564:O568" ca="1" si="122">+IF(L564&gt;0,N564*100/L564,0)</f>
        <v>55.039096692111897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IFERROR(__xludf.DUMMYFUNCTION("IMPORTRANGE(""https://docs.google.com/spreadsheets/d/11923uPwbBZFjjGgGUA6NLw09EwE0CqkOc4q9oUmW1yo/edit?usp=sharing"",""เพชรบูรณ์!M461"")"),86521.4599999999)</f>
        <v>86521.459999999905</v>
      </c>
      <c r="O566" s="168">
        <f t="shared" ca="1" si="122"/>
        <v>55.039096692111897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IFERROR(__xludf.DUMMYFUNCTION("IMPORTRANGE(""https://docs.google.com/spreadsheets/d/11923uPwbBZFjjGgGUA6NLw09EwE0CqkOc4q9oUmW1yo/edit?usp=sharing"",""เพชรบูรณ์!M463"")"),86521.4599999999)</f>
        <v>86521.459999999905</v>
      </c>
      <c r="O568" s="168">
        <f t="shared" ca="1" si="122"/>
        <v>55.039096692111897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IFERROR(__xludf.DUMMYFUNCTION("IMPORTRANGE(""https://docs.google.com/spreadsheets/d/11923uPwbBZFjjGgGUA6NLw09EwE0CqkOc4q9oUmW1yo/edit?usp=sharing"",""เพชรบูรณ์!M466"")"),65248)</f>
        <v>65248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IFERROR(__xludf.DUMMYFUNCTION("IMPORTRANGE(""https://docs.google.com/spreadsheets/d/11923uPwbBZFjjGgGUA6NLw09EwE0CqkOc4q9oUmW1yo/edit?usp=sharing"",""เพชรบูรณ์!M467"")"),21273.46)</f>
        <v>21273.46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IFERROR(__xludf.DUMMYFUNCTION("IMPORTRANGE(""https://docs.google.com/spreadsheets/d/11923uPwbBZFjjGgGUA6NLw09EwE0CqkOc4q9oUmW1yo/edit?usp=sharing"",""เพชรบูรณ์!J468"")"),5748)</f>
        <v>5748</v>
      </c>
      <c r="K573" s="201">
        <f ca="1">IF(I573&gt;0,J573*100/I573,0)</f>
        <v>149.2987012987013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IFERROR(__xludf.DUMMYFUNCTION("IMPORTRANGE(""https://docs.google.com/spreadsheets/d/11923uPwbBZFjjGgGUA6NLw09EwE0CqkOc4q9oUmW1yo/edit?usp=sharing"",""เพชรบูรณ์!J471"")"),514)</f>
        <v>514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IFERROR(__xludf.DUMMYFUNCTION("IMPORTRANGE(""https://docs.google.com/spreadsheets/d/11923uPwbBZFjjGgGUA6NLw09EwE0CqkOc4q9oUmW1yo/edit?usp=sharing"",""เพชรบูรณ์!J472"")"),5168)</f>
        <v>5168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IFERROR(__xludf.DUMMYFUNCTION("IMPORTRANGE(""https://docs.google.com/spreadsheets/d/11923uPwbBZFjjGgGUA6NLw09EwE0CqkOc4q9oUmW1yo/edit?usp=sharing"",""เพชรบูรณ์!J473"")"),2)</f>
        <v>2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IFERROR(__xludf.DUMMYFUNCTION("IMPORTRANGE(""https://docs.google.com/spreadsheets/d/11923uPwbBZFjjGgGUA6NLw09EwE0CqkOc4q9oUmW1yo/edit?usp=sharing"",""เพชรบูรณ์!J474"")"),64)</f>
        <v>64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IFERROR(__xludf.DUMMYFUNCTION("IMPORTRANGE(""https://docs.google.com/spreadsheets/d/11923uPwbBZFjjGgGUA6NLw09EwE0CqkOc4q9oUmW1yo/edit?usp=sharing"",""เพชรบูรณ์!I475"")"),300)</f>
        <v>300</v>
      </c>
      <c r="J580" s="370">
        <f ca="1">IFERROR(__xludf.DUMMYFUNCTION("IMPORTRANGE(""https://docs.google.com/spreadsheets/d/11923uPwbBZFjjGgGUA6NLw09EwE0CqkOc4q9oUmW1yo/edit?usp=sharing"",""เพชรบูรณ์!J475"")"),29)</f>
        <v>29</v>
      </c>
      <c r="K580" s="371">
        <f ca="1">IF(I580&gt;0,J580*100/I580,0)</f>
        <v>9.6666666666666661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IFERROR(__xludf.DUMMYFUNCTION("IMPORTRANGE(""https://docs.google.com/spreadsheets/d/11923uPwbBZFjjGgGUA6NLw09EwE0CqkOc4q9oUmW1yo/edit?usp=sharing"",""เพชรบูรณ์!M475"")"),149796)</f>
        <v>149796</v>
      </c>
      <c r="O580" s="372">
        <f t="shared" ref="O580:O584" ca="1" si="124">+IF(L580&gt;0,N580*100/L580,0)</f>
        <v>43.175097276264594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IFERROR(__xludf.DUMMYFUNCTION("IMPORTRANGE(""https://docs.google.com/spreadsheets/d/11923uPwbBZFjjGgGUA6NLw09EwE0CqkOc4q9oUmW1yo/edit?usp=sharing"",""เพชรบูรณ์!M477"")"),149796)</f>
        <v>149796</v>
      </c>
      <c r="O582" s="168">
        <f t="shared" ca="1" si="124"/>
        <v>43.175097276264594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IFERROR(__xludf.DUMMYFUNCTION("IMPORTRANGE(""https://docs.google.com/spreadsheets/d/11923uPwbBZFjjGgGUA6NLw09EwE0CqkOc4q9oUmW1yo/edit?usp=sharing"",""เพชรบูรณ์!M479"")"),149796)</f>
        <v>149796</v>
      </c>
      <c r="O584" s="168">
        <f t="shared" ca="1" si="124"/>
        <v>43.175097276264594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IFERROR(__xludf.DUMMYFUNCTION("IMPORTRANGE(""https://docs.google.com/spreadsheets/d/11923uPwbBZFjjGgGUA6NLw09EwE0CqkOc4q9oUmW1yo/edit?usp=sharing"",""เพชรบูรณ์!M482"")"),59026)</f>
        <v>59026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IFERROR(__xludf.DUMMYFUNCTION("IMPORTRANGE(""https://docs.google.com/spreadsheets/d/11923uPwbBZFjjGgGUA6NLw09EwE0CqkOc4q9oUmW1yo/edit?usp=sharing"",""เพชรบูรณ์!M483"")"),90770)</f>
        <v>90770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IFERROR(__xludf.DUMMYFUNCTION("IMPORTRANGE(""https://docs.google.com/spreadsheets/d/11923uPwbBZFjjGgGUA6NLw09EwE0CqkOc4q9oUmW1yo/edit?usp=sharing"",""เพชรบูรณ์!I484"")"),300)</f>
        <v>300</v>
      </c>
      <c r="J589" s="187">
        <f ca="1">IFERROR(__xludf.DUMMYFUNCTION("IMPORTRANGE(""https://docs.google.com/spreadsheets/d/11923uPwbBZFjjGgGUA6NLw09EwE0CqkOc4q9oUmW1yo/edit?usp=sharing"",""เพชรบูรณ์!J484"")"),169)</f>
        <v>169</v>
      </c>
      <c r="K589" s="163">
        <f t="shared" ref="K589:K596" ca="1" si="125">IF(I589&gt;0,J589*100/I589,0)</f>
        <v>56.333333333333336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IFERROR(__xludf.DUMMYFUNCTION("IMPORTRANGE(""https://docs.google.com/spreadsheets/d/11923uPwbBZFjjGgGUA6NLw09EwE0CqkOc4q9oUmW1yo/edit?usp=sharing"",""เพชรบูรณ์!J485"")"),107)</f>
        <v>107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IFERROR(__xludf.DUMMYFUNCTION("IMPORTRANGE(""https://docs.google.com/spreadsheets/d/11923uPwbBZFjjGgGUA6NLw09EwE0CqkOc4q9oUmW1yo/edit?usp=sharing"",""เพชรบูรณ์!I486"")"),300)</f>
        <v>300</v>
      </c>
      <c r="J591" s="187">
        <f ca="1">IFERROR(__xludf.DUMMYFUNCTION("IMPORTRANGE(""https://docs.google.com/spreadsheets/d/11923uPwbBZFjjGgGUA6NLw09EwE0CqkOc4q9oUmW1yo/edit?usp=sharing"",""เพชรบูรณ์!J486"")"),94)</f>
        <v>94</v>
      </c>
      <c r="K591" s="163">
        <f t="shared" ca="1" si="125"/>
        <v>31.333333333333332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IFERROR(__xludf.DUMMYFUNCTION("IMPORTRANGE(""https://docs.google.com/spreadsheets/d/11923uPwbBZFjjGgGUA6NLw09EwE0CqkOc4q9oUmW1yo/edit?usp=sharing"",""เพชรบูรณ์!J487"")"),52.37)</f>
        <v>52.37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IFERROR(__xludf.DUMMYFUNCTION("IMPORTRANGE(""https://docs.google.com/spreadsheets/d/11923uPwbBZFjjGgGUA6NLw09EwE0CqkOc4q9oUmW1yo/edit?usp=sharing"",""เพชรบูรณ์!I488"")"),300)</f>
        <v>300</v>
      </c>
      <c r="J593" s="187">
        <f ca="1">IFERROR(__xludf.DUMMYFUNCTION("IMPORTRANGE(""https://docs.google.com/spreadsheets/d/11923uPwbBZFjjGgGUA6NLw09EwE0CqkOc4q9oUmW1yo/edit?usp=sharing"",""เพชรบูรณ์!J488"")"),0)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IFERROR(__xludf.DUMMYFUNCTION("IMPORTRANGE(""https://docs.google.com/spreadsheets/d/11923uPwbBZFjjGgGUA6NLw09EwE0CqkOc4q9oUmW1yo/edit?usp=sharing"",""เพชรบูรณ์!I490"")"),300)</f>
        <v>300</v>
      </c>
      <c r="J595" s="187">
        <f ca="1">IFERROR(__xludf.DUMMYFUNCTION("IMPORTRANGE(""https://docs.google.com/spreadsheets/d/11923uPwbBZFjjGgGUA6NLw09EwE0CqkOc4q9oUmW1yo/edit?usp=sharing"",""เพชรบูรณ์!J490"")"),29)</f>
        <v>29</v>
      </c>
      <c r="K595" s="163">
        <f t="shared" ca="1" si="125"/>
        <v>9.6666666666666661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IFERROR(__xludf.DUMMYFUNCTION("IMPORTRANGE(""https://docs.google.com/spreadsheets/d/11923uPwbBZFjjGgGUA6NLw09EwE0CqkOc4q9oUmW1yo/edit?usp=sharing"",""เพชรบูรณ์!I491"")"),0)</f>
        <v>0</v>
      </c>
      <c r="J596" s="240">
        <f ca="1">IFERROR(__xludf.DUMMYFUNCTION("IMPORTRANGE(""https://docs.google.com/spreadsheets/d/11923uPwbBZFjjGgGUA6NLw09EwE0CqkOc4q9oUmW1yo/edit?usp=sharing"",""เพชรบูรณ์!J491"")"),16.03)</f>
        <v>16.03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7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IFERROR(__xludf.DUMMYFUNCTION("IMPORTRANGE(""https://docs.google.com/spreadsheets/d/11923uPwbBZFjjGgGUA6NLw09EwE0CqkOc4q9oUmW1yo/edit?usp=sharing"",""เพชรบูรณ์!L492"")"),7300)</f>
        <v>7300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6.1643835616438354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40">
        <f ca="1">IFERROR(__xludf.DUMMYFUNCTION("IMPORTRANGE(""https://docs.google.com/spreadsheets/d/11923uPwbBZFjjGgGUA6NLw09EwE0CqkOc4q9oUmW1yo/edit?usp=sharing"",""เพชรบูรณ์!J523"")"),6255691.87)</f>
        <v>6255691.8700000001</v>
      </c>
      <c r="K628" s="341">
        <f t="shared" ref="K628:K635" ca="1" si="129">IF(I628&gt;0,J628*100/I628,0)</f>
        <v>31.25741648213523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IFERROR(__xludf.DUMMYFUNCTION("IMPORTRANGE(""https://docs.google.com/spreadsheets/d/11923uPwbBZFjjGgGUA6NLw09EwE0CqkOc4q9oUmW1yo/edit?usp=sharing"",""เพชรบูรณ์!I524"")"),654)</f>
        <v>654</v>
      </c>
      <c r="J629" s="340">
        <f ca="1">IFERROR(__xludf.DUMMYFUNCTION("IMPORTRANGE(""https://docs.google.com/spreadsheets/d/11923uPwbBZFjjGgGUA6NLw09EwE0CqkOc4q9oUmW1yo/edit?usp=sharing"",""เพชรบูรณ์!J524"")"),186)</f>
        <v>186</v>
      </c>
      <c r="K629" s="341">
        <f t="shared" ca="1" si="129"/>
        <v>28.440366972477065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0">
        <f ca="1">IFERROR(__xludf.DUMMYFUNCTION("IMPORTRANGE(""https://docs.google.com/spreadsheets/d/11923uPwbBZFjjGgGUA6NLw09EwE0CqkOc4q9oUmW1yo/edit?usp=sharing"",""เพชรบูรณ์!J525"")"),657085.1)</f>
        <v>657085.1</v>
      </c>
      <c r="K630" s="341">
        <f t="shared" ca="1" si="129"/>
        <v>2.3445575193020174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IFERROR(__xludf.DUMMYFUNCTION("IMPORTRANGE(""https://docs.google.com/spreadsheets/d/11923uPwbBZFjjGgGUA6NLw09EwE0CqkOc4q9oUmW1yo/edit?usp=sharing"",""เพชรบูรณ์!I526"")"),1029)</f>
        <v>1029</v>
      </c>
      <c r="J631" s="340">
        <f ca="1">IFERROR(__xludf.DUMMYFUNCTION("IMPORTRANGE(""https://docs.google.com/spreadsheets/d/11923uPwbBZFjjGgGUA6NLw09EwE0CqkOc4q9oUmW1yo/edit?usp=sharing"",""เพชรบูรณ์!J526"")"),201)</f>
        <v>201</v>
      </c>
      <c r="K631" s="341">
        <f t="shared" ca="1" si="129"/>
        <v>19.533527696793001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0">
        <f ca="1">IFERROR(__xludf.DUMMYFUNCTION("IMPORTRANGE(""https://docs.google.com/spreadsheets/d/11923uPwbBZFjjGgGUA6NLw09EwE0CqkOc4q9oUmW1yo/edit?usp=sharing"",""เพชรบูรณ์!J527"")"),250222.64)</f>
        <v>250222.64</v>
      </c>
      <c r="K632" s="341">
        <f t="shared" ca="1" si="129"/>
        <v>9.4698159481099236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IFERROR(__xludf.DUMMYFUNCTION("IMPORTRANGE(""https://docs.google.com/spreadsheets/d/11923uPwbBZFjjGgGUA6NLw09EwE0CqkOc4q9oUmW1yo/edit?usp=sharing"",""เพชรบูรณ์!I528"")"),133)</f>
        <v>133</v>
      </c>
      <c r="J633" s="340">
        <f ca="1">IFERROR(__xludf.DUMMYFUNCTION("IMPORTRANGE(""https://docs.google.com/spreadsheets/d/11923uPwbBZFjjGgGUA6NLw09EwE0CqkOc4q9oUmW1yo/edit?usp=sharing"",""เพชรบูรณ์!J528"")"),59)</f>
        <v>59</v>
      </c>
      <c r="K633" s="341">
        <f t="shared" ca="1" si="129"/>
        <v>44.360902255639097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0">
        <f ca="1">IFERROR(__xludf.DUMMYFUNCTION("IMPORTRANGE(""https://docs.google.com/spreadsheets/d/11923uPwbBZFjjGgGUA6NLw09EwE0CqkOc4q9oUmW1yo/edit?usp=sharing"",""เพชรบูรณ์!J529"")"),4694000)</f>
        <v>4694000</v>
      </c>
      <c r="K634" s="341">
        <f t="shared" ca="1" si="129"/>
        <v>39.116666666666667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IFERROR(__xludf.DUMMYFUNCTION("IMPORTRANGE(""https://docs.google.com/spreadsheets/d/11923uPwbBZFjjGgGUA6NLw09EwE0CqkOc4q9oUmW1yo/edit?usp=sharing"",""เพชรบูรณ์!I530"")"),300)</f>
        <v>300</v>
      </c>
      <c r="J635" s="504">
        <f ca="1">IFERROR(__xludf.DUMMYFUNCTION("IMPORTRANGE(""https://docs.google.com/spreadsheets/d/11923uPwbBZFjjGgGUA6NLw09EwE0CqkOc4q9oUmW1yo/edit?usp=sharing"",""เพชรบูรณ์!J530"")"),138)</f>
        <v>138</v>
      </c>
      <c r="K635" s="486">
        <f t="shared" ca="1" si="129"/>
        <v>46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G568" sqref="G56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9.36328125" bestFit="1" customWidth="1"/>
    <col min="15" max="15" width="18.7265625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258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15145264.870000001</v>
      </c>
      <c r="M8" s="23">
        <f t="shared" ca="1" si="0"/>
        <v>12645670</v>
      </c>
      <c r="N8" s="23">
        <f t="shared" ca="1" si="0"/>
        <v>12737691.4</v>
      </c>
      <c r="O8" s="22">
        <f t="shared" ref="O8:O16" ca="1" si="1">IF(L8&gt;0,N8*100/L8,0)</f>
        <v>84.103457478852263</v>
      </c>
      <c r="P8" s="22">
        <f t="shared" ref="P8:P16" ca="1" si="2">IF(M8&gt;0,N8*100/M8,0)</f>
        <v>100.72769098039092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15145264.870000001</v>
      </c>
      <c r="M10" s="30">
        <f t="shared" ca="1" si="4"/>
        <v>12645670</v>
      </c>
      <c r="N10" s="30">
        <f t="shared" ca="1" si="4"/>
        <v>12737691.4</v>
      </c>
      <c r="O10" s="29">
        <f t="shared" ca="1" si="1"/>
        <v>84.103457478852263</v>
      </c>
      <c r="P10" s="29">
        <f t="shared" ca="1" si="2"/>
        <v>100.72769098039092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4664464.87</v>
      </c>
      <c r="M12" s="39">
        <f t="shared" ca="1" si="6"/>
        <v>2164870</v>
      </c>
      <c r="N12" s="39">
        <f t="shared" ca="1" si="6"/>
        <v>2372017.16</v>
      </c>
      <c r="O12" s="39">
        <f t="shared" ca="1" si="1"/>
        <v>50.852932246437952</v>
      </c>
      <c r="P12" s="39">
        <f t="shared" ca="1" si="2"/>
        <v>109.56857270875388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1871100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2793364.87</v>
      </c>
      <c r="M14" s="39">
        <f t="shared" si="8"/>
        <v>0</v>
      </c>
      <c r="N14" s="39">
        <f t="shared" ca="1" si="8"/>
        <v>737562.85</v>
      </c>
      <c r="O14" s="39">
        <f t="shared" ca="1" si="1"/>
        <v>26.404099869703021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10480800</v>
      </c>
      <c r="M16" s="39">
        <f t="shared" ca="1" si="10"/>
        <v>10480800</v>
      </c>
      <c r="N16" s="39">
        <f t="shared" ca="1" si="10"/>
        <v>10365674.24</v>
      </c>
      <c r="O16" s="50">
        <f t="shared" ca="1" si="1"/>
        <v>98.901555606442258</v>
      </c>
      <c r="P16" s="50">
        <f t="shared" ca="1" si="2"/>
        <v>98.901555606442258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13281305</v>
      </c>
      <c r="M18" s="23">
        <f t="shared" ca="1" si="11"/>
        <v>12645670</v>
      </c>
      <c r="N18" s="23">
        <f t="shared" ca="1" si="11"/>
        <v>12000128.550000001</v>
      </c>
      <c r="O18" s="22">
        <f t="shared" ref="O18:O20" ca="1" si="12">IF(L18&gt;0,N18*100/L18,0)</f>
        <v>90.35353491242013</v>
      </c>
      <c r="P18" s="22">
        <f t="shared" ref="P18:P26" ca="1" si="13">IF(M18&gt;0,N18*100/M18,0)</f>
        <v>94.895158184580183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13281305</v>
      </c>
      <c r="M20" s="30">
        <f t="shared" ca="1" si="15"/>
        <v>12645670</v>
      </c>
      <c r="N20" s="30">
        <f t="shared" ca="1" si="15"/>
        <v>12000128.550000001</v>
      </c>
      <c r="O20" s="29">
        <f t="shared" ca="1" si="12"/>
        <v>90.35353491242013</v>
      </c>
      <c r="P20" s="29">
        <f t="shared" ca="1" si="13"/>
        <v>94.895158184580183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2800505</v>
      </c>
      <c r="M22" s="42">
        <f t="shared" ca="1" si="18"/>
        <v>2164870</v>
      </c>
      <c r="N22" s="39">
        <f t="shared" ca="1" si="18"/>
        <v>1634454.31</v>
      </c>
      <c r="O22" s="39">
        <f t="shared" ca="1" si="17"/>
        <v>58.362842058842958</v>
      </c>
      <c r="P22" s="39">
        <f t="shared" ca="1" si="13"/>
        <v>75.498958828936608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1871100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929405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10480800</v>
      </c>
      <c r="M26" s="50">
        <f t="shared" ca="1" si="22"/>
        <v>10480800</v>
      </c>
      <c r="N26" s="50">
        <f t="shared" ca="1" si="22"/>
        <v>10365674.24</v>
      </c>
      <c r="O26" s="50">
        <f t="shared" ca="1" si="17"/>
        <v>98.901555606442258</v>
      </c>
      <c r="P26" s="50">
        <f t="shared" ca="1" si="13"/>
        <v>98.901555606442258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1863959.87</v>
      </c>
      <c r="M28" s="23">
        <f t="shared" si="23"/>
        <v>0</v>
      </c>
      <c r="N28" s="23">
        <f t="shared" ca="1" si="23"/>
        <v>737562.85</v>
      </c>
      <c r="O28" s="22">
        <f t="shared" ref="O28:O30" ca="1" si="24">IF(L28&gt;0,N28*100/L28,0)</f>
        <v>39.569674319222329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1863959.87</v>
      </c>
      <c r="M30" s="30">
        <f t="shared" si="27"/>
        <v>0</v>
      </c>
      <c r="N30" s="30">
        <f t="shared" ca="1" si="27"/>
        <v>737562.85</v>
      </c>
      <c r="O30" s="29">
        <f t="shared" ca="1" si="24"/>
        <v>39.569674319222329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1863959.87</v>
      </c>
      <c r="M32" s="39">
        <f t="shared" si="30"/>
        <v>0</v>
      </c>
      <c r="N32" s="39">
        <f t="shared" ca="1" si="30"/>
        <v>737562.85</v>
      </c>
      <c r="O32" s="39">
        <f t="shared" ca="1" si="29"/>
        <v>39.569674319222329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1863959.87</v>
      </c>
      <c r="M34" s="39">
        <f t="shared" si="32"/>
        <v>0</v>
      </c>
      <c r="N34" s="39">
        <f t="shared" ca="1" si="32"/>
        <v>737562.85</v>
      </c>
      <c r="O34" s="39">
        <f t="shared" ca="1" si="29"/>
        <v>39.569674319222329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13281305</v>
      </c>
      <c r="M37" s="55">
        <f t="shared" ca="1" si="33"/>
        <v>12645670</v>
      </c>
      <c r="N37" s="55">
        <f t="shared" ca="1" si="33"/>
        <v>12000128.550000001</v>
      </c>
      <c r="O37" s="56">
        <f t="shared" ca="1" si="29"/>
        <v>90.35353491242013</v>
      </c>
      <c r="P37" s="56">
        <f t="shared" ca="1" si="25"/>
        <v>94.895158184580183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7765700</v>
      </c>
      <c r="M41" s="79">
        <f t="shared" ca="1" si="34"/>
        <v>7613100</v>
      </c>
      <c r="N41" s="79">
        <f t="shared" ca="1" si="34"/>
        <v>7528411.7199999997</v>
      </c>
      <c r="O41" s="78">
        <f t="shared" ref="O41:O43" ca="1" si="35">IF(L41&gt;0,N41*100/L41,0)</f>
        <v>96.944405784410932</v>
      </c>
      <c r="P41" s="78">
        <f t="shared" ref="P41:P43" ca="1" si="36">IF(M41&gt;0,N41*100/M41,0)</f>
        <v>98.887597956154522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7765700</v>
      </c>
      <c r="M43" s="79">
        <f t="shared" ca="1" si="38"/>
        <v>7613100</v>
      </c>
      <c r="N43" s="79">
        <f t="shared" ca="1" si="38"/>
        <v>7528411.7199999997</v>
      </c>
      <c r="O43" s="78">
        <f t="shared" ca="1" si="35"/>
        <v>96.944405784410932</v>
      </c>
      <c r="P43" s="78">
        <f t="shared" ca="1" si="36"/>
        <v>98.887597956154522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610700</v>
      </c>
      <c r="M45" s="50">
        <f ca="1">IFERROR(__xludf.DUMMYFUNCTION("IMPORTRANGE(""https://docs.google.com/spreadsheets/d/1Yj_ptqi66GCucihVvJfMjLAmec39IyEx_6qawtMGysU/edit?usp=sharing"",""สบก!Q30"")"),458100)</f>
        <v>458100</v>
      </c>
      <c r="N45" s="50">
        <f ca="1">IFERROR(__xludf.DUMMYFUNCTION("IMPORTRANGE(""https://docs.google.com/spreadsheets/d/1Yj_ptqi66GCucihVvJfMjLAmec39IyEx_6qawtMGysU/edit?usp=sharing"",""สบก!R30"")"),373411.72)</f>
        <v>373411.72</v>
      </c>
      <c r="O45" s="39">
        <f ca="1">IF(L45&gt;0,N45*100/L45,0)</f>
        <v>61.144869821516295</v>
      </c>
      <c r="P45" s="39">
        <f ca="1">IF(M45&gt;0,N45*100/M45,0)</f>
        <v>81.513145601397071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IFERROR(__xludf.DUMMYFUNCTION("IMPORTRANGE(""https://docs.google.com/spreadsheets/d/1Yj_ptqi66GCucihVvJfMjLAmec39IyEx_6qawtMGysU/edit?usp=sharing"",""สบก!M30"")"),610700)</f>
        <v>610700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IFERROR(__xludf.DUMMYFUNCTION("IMPORTRANGE(""https://docs.google.com/spreadsheets/d/1Yj_ptqi66GCucihVvJfMjLAmec39IyEx_6qawtMGysU/edit?usp=sharing"",""สบก!O30"")"),7155000)</f>
        <v>7155000</v>
      </c>
      <c r="M49" s="50">
        <f ca="1">L49</f>
        <v>7155000</v>
      </c>
      <c r="N49" s="50">
        <f ca="1">IFERROR(__xludf.DUMMYFUNCTION("IMPORTRANGE(""https://docs.google.com/spreadsheets/d/1Yj_ptqi66GCucihVvJfMjLAmec39IyEx_6qawtMGysU/edit?usp=sharing"",""สบก!S30"")"),7155000)</f>
        <v>7155000</v>
      </c>
      <c r="O49" s="50">
        <f ca="1">IF(L49&gt;0,N49*100/L49,0)</f>
        <v>100</v>
      </c>
      <c r="P49" s="52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637200</v>
      </c>
      <c r="M53" s="121">
        <f t="shared" ca="1" si="39"/>
        <v>477900</v>
      </c>
      <c r="N53" s="121">
        <f t="shared" ca="1" si="39"/>
        <v>354200</v>
      </c>
      <c r="O53" s="120">
        <f t="shared" ref="O53:O55" ca="1" si="40">IF(L53&gt;0,N53*100/L53,0)</f>
        <v>55.586942875078471</v>
      </c>
      <c r="P53" s="120">
        <f t="shared" ref="P53:P55" ca="1" si="41">IF(M53&gt;0,N53*100/M53,0)</f>
        <v>74.115923833437961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637200</v>
      </c>
      <c r="M55" s="121">
        <f t="shared" ca="1" si="43"/>
        <v>477900</v>
      </c>
      <c r="N55" s="121">
        <f t="shared" ca="1" si="43"/>
        <v>354200</v>
      </c>
      <c r="O55" s="120">
        <f t="shared" ca="1" si="40"/>
        <v>55.586942875078471</v>
      </c>
      <c r="P55" s="120">
        <f t="shared" ca="1" si="41"/>
        <v>74.115923833437961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637200</v>
      </c>
      <c r="M57" s="50">
        <f ca="1">IFERROR(__xludf.DUMMYFUNCTION("IMPORTRANGE(""https://docs.google.com/spreadsheets/d/1Yj_ptqi66GCucihVvJfMjLAmec39IyEx_6qawtMGysU/edit?usp=sharing"",""สบก!Z30"")"),477900)</f>
        <v>477900</v>
      </c>
      <c r="N57" s="50">
        <f ca="1">IFERROR(__xludf.DUMMYFUNCTION("IMPORTRANGE(""https://docs.google.com/spreadsheets/d/1Yj_ptqi66GCucihVvJfMjLAmec39IyEx_6qawtMGysU/edit?usp=sharing"",""สบก!AA30"")"),354200)</f>
        <v>354200</v>
      </c>
      <c r="O57" s="39">
        <f ca="1">IF(L57&gt;0,N57*100/L57,0)</f>
        <v>55.586942875078471</v>
      </c>
      <c r="P57" s="39">
        <f ca="1">IF(M57&gt;0,N57*100/M57,0)</f>
        <v>74.115923833437961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IFERROR(__xludf.DUMMYFUNCTION("IMPORTRANGE(""https://docs.google.com/spreadsheets/d/1Yj_ptqi66GCucihVvJfMjLAmec39IyEx_6qawtMGysU/edit?usp=sharing"",""สบก!V30"")"),637200)</f>
        <v>637200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3131000</v>
      </c>
      <c r="M66" s="152">
        <f t="shared" ca="1" si="45"/>
        <v>3131000</v>
      </c>
      <c r="N66" s="152">
        <f t="shared" ca="1" si="45"/>
        <v>3015874.24</v>
      </c>
      <c r="O66" s="151">
        <f t="shared" ref="O66:O68" ca="1" si="46">IF(L66&gt;0,N66*100/L66,0)</f>
        <v>96.323035451932284</v>
      </c>
      <c r="P66" s="151">
        <f t="shared" ref="P66:P68" ca="1" si="47">IF(M66&gt;0,N66*100/M66,0)</f>
        <v>96.323035451932284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3131000</v>
      </c>
      <c r="M68" s="88">
        <f t="shared" ca="1" si="49"/>
        <v>3131000</v>
      </c>
      <c r="N68" s="88">
        <f t="shared" ca="1" si="49"/>
        <v>3015874.24</v>
      </c>
      <c r="O68" s="156">
        <f t="shared" ca="1" si="46"/>
        <v>96.323035451932284</v>
      </c>
      <c r="P68" s="156">
        <f t="shared" ca="1" si="47"/>
        <v>96.323035451932284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IFERROR(__xludf.DUMMYFUNCTION("IMPORTRANGE(""https://docs.google.com/spreadsheets/d/1Yj_ptqi66GCucihVvJfMjLAmec39IyEx_6qawtMGysU/edit?usp=sharing"",""สบก!AG30"")"),3131000)</f>
        <v>3131000</v>
      </c>
      <c r="M74" s="50">
        <f ca="1">L74</f>
        <v>3131000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96.323035451932284</v>
      </c>
      <c r="P74" s="50">
        <f ca="1">IF(M74&gt;0,N74*100/M74,0)</f>
        <v>96.323035451932284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252925</v>
      </c>
      <c r="O94" s="151">
        <f t="shared" ref="O94:O96" ca="1" si="53">IF(L94&gt;0,N94*100/L94,0)</f>
        <v>79.296777025332332</v>
      </c>
      <c r="P94" s="151">
        <f t="shared" ref="P94:P96" ca="1" si="54">IF(M94&gt;0,N94*100/M94,0)</f>
        <v>79.296777025332332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252925</v>
      </c>
      <c r="O96" s="156">
        <f t="shared" ca="1" si="53"/>
        <v>79.296777025332332</v>
      </c>
      <c r="P96" s="156">
        <f t="shared" ca="1" si="54"/>
        <v>79.296777025332332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IFERROR(__xludf.DUMMYFUNCTION("IMPORTRANGE(""https://docs.google.com/spreadsheets/d/1Yj_ptqi66GCucihVvJfMjLAmec39IyEx_6qawtMGysU/edit?usp=sharing"",""สบก!AR30"")"),134160)</f>
        <v>134160</v>
      </c>
      <c r="N98" s="168">
        <f ca="1">IFERROR(__xludf.DUMMYFUNCTION("IMPORTRANGE(""https://docs.google.com/spreadsheets/d/1Yj_ptqi66GCucihVvJfMjLAmec39IyEx_6qawtMGysU/edit?usp=sharing"",""สบก!AS30"")"),68125)</f>
        <v>68125</v>
      </c>
      <c r="O98" s="168">
        <f ca="1">IF(L98&gt;0,N98*100/L98,0)</f>
        <v>50.778920691711392</v>
      </c>
      <c r="P98" s="168">
        <f ca="1">IF(M98&gt;0,N98*100/M98,0)</f>
        <v>50.778920691711392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IFERROR(__xludf.DUMMYFUNCTION("IMPORTRANGE(""https://docs.google.com/spreadsheets/d/11923uPwbBZFjjGgGUA6NLw09EwE0CqkOc4q9oUmW1yo/edit?usp=sharing"",""แพร่!J50"")"),0)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66440</v>
      </c>
      <c r="O118" s="151">
        <f t="shared" ref="O118:O120" ca="1" si="59">IF(L118&gt;0,N118*100/L118,0)</f>
        <v>80.591945657447837</v>
      </c>
      <c r="P118" s="151">
        <f t="shared" ref="P118:P120" ca="1" si="60">IF(M118&gt;0,N118*100/M118,0)</f>
        <v>80.591945657447837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66440</v>
      </c>
      <c r="O120" s="156">
        <f t="shared" ca="1" si="59"/>
        <v>80.591945657447837</v>
      </c>
      <c r="P120" s="156">
        <f t="shared" ca="1" si="60"/>
        <v>80.591945657447837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IFERROR(__xludf.DUMMYFUNCTION("IMPORTRANGE(""https://docs.google.com/spreadsheets/d/1Yj_ptqi66GCucihVvJfMjLAmec39IyEx_6qawtMGysU/edit?usp=sharing"",""สบก!BA30"")"),82440)</f>
        <v>82440</v>
      </c>
      <c r="N122" s="168">
        <f ca="1">IFERROR(__xludf.DUMMYFUNCTION("IMPORTRANGE(""https://docs.google.com/spreadsheets/d/1Yj_ptqi66GCucihVvJfMjLAmec39IyEx_6qawtMGysU/edit?usp=sharing"",""สบก!BB30"")"),66440)</f>
        <v>66440</v>
      </c>
      <c r="O122" s="168">
        <f ca="1">IF(L122&gt;0,N122*100/L122,0)</f>
        <v>80.591945657447837</v>
      </c>
      <c r="P122" s="168">
        <f ca="1">IF(M122&gt;0,N122*100/M122,0)</f>
        <v>80.591945657447837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259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3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IFERROR(__xludf.DUMMYFUNCTION("IMPORTRANGE(""https://docs.google.com/spreadsheets/d/11923uPwbBZFjjGgGUA6NLw09EwE0CqkOc4q9oUmW1yo/edit?usp=sharing"",""แพร่!J65"")"),0)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IFERROR(__xludf.DUMMYFUNCTION("IMPORTRANGE(""https://docs.google.com/spreadsheets/d/11923uPwbBZFjjGgGUA6NLw09EwE0CqkOc4q9oUmW1yo/edit?usp=sharing"",""แพร่!I68"")"),0)</f>
        <v>0</v>
      </c>
      <c r="J138" s="266">
        <f ca="1">IFERROR(__xludf.DUMMYFUNCTION("IMPORTRANGE(""https://docs.google.com/spreadsheets/d/11923uPwbBZFjjGgGUA6NLw09EwE0CqkOc4q9oUmW1yo/edit?usp=sharing"",""แพร่!J68"")"),0)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55625</v>
      </c>
      <c r="N140" s="152">
        <f t="shared" ca="1" si="64"/>
        <v>34889</v>
      </c>
      <c r="O140" s="151">
        <f t="shared" ref="O140:O142" ca="1" si="65">IF(L140&gt;0,N140*100/L140,0)</f>
        <v>50.563768115942032</v>
      </c>
      <c r="P140" s="151">
        <f t="shared" ref="P140:P142" ca="1" si="66">IF(M140&gt;0,N140*100/M140,0)</f>
        <v>62.721797752808989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55625</v>
      </c>
      <c r="N142" s="88">
        <f t="shared" ca="1" si="68"/>
        <v>34889</v>
      </c>
      <c r="O142" s="156">
        <f t="shared" ca="1" si="65"/>
        <v>50.563768115942032</v>
      </c>
      <c r="P142" s="156">
        <f t="shared" ca="1" si="66"/>
        <v>62.721797752808989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IFERROR(__xludf.DUMMYFUNCTION("IMPORTRANGE(""https://docs.google.com/spreadsheets/d/1Yj_ptqi66GCucihVvJfMjLAmec39IyEx_6qawtMGysU/edit?usp=sharing"",""สบก!BJ30"")"),55625)</f>
        <v>55625</v>
      </c>
      <c r="N144" s="168">
        <f ca="1">IFERROR(__xludf.DUMMYFUNCTION("IMPORTRANGE(""https://docs.google.com/spreadsheets/d/1Yj_ptqi66GCucihVvJfMjLAmec39IyEx_6qawtMGysU/edit?usp=sharing"",""สบก!BK30"")"),34889)</f>
        <v>34889</v>
      </c>
      <c r="O144" s="168">
        <f ca="1">IF(L144&gt;0,N144*100/L144,0)</f>
        <v>50.563768115942032</v>
      </c>
      <c r="P144" s="168">
        <f ca="1">IF(M144&gt;0,N144*100/M144,0)</f>
        <v>62.721797752808989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IFERROR(__xludf.DUMMYFUNCTION("IMPORTRANGE(""https://docs.google.com/spreadsheets/d/11923uPwbBZFjjGgGUA6NLw09EwE0CqkOc4q9oUmW1yo/edit?usp=sharing"",""แพร่!I74"")"),4)</f>
        <v>4</v>
      </c>
      <c r="J149" s="274">
        <f ca="1">IFERROR(__xludf.DUMMYFUNCTION("IMPORTRANGE(""https://docs.google.com/spreadsheets/d/11923uPwbBZFjjGgGUA6NLw09EwE0CqkOc4q9oUmW1yo/edit?usp=sharing"",""แพร่!J74"")"),2)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IFERROR(__xludf.DUMMYFUNCTION("IMPORTRANGE(""https://docs.google.com/spreadsheets/d/11923uPwbBZFjjGgGUA6NLw09EwE0CqkOc4q9oUmW1yo/edit?usp=sharing"",""แพร่!I89"")"),3)</f>
        <v>3</v>
      </c>
      <c r="J164" s="283">
        <f ca="1">IFERROR(__xludf.DUMMYFUNCTION("IMPORTRANGE(""https://docs.google.com/spreadsheets/d/11923uPwbBZFjjGgGUA6NLw09EwE0CqkOc4q9oUmW1yo/edit?usp=sharing"",""แพร่!J89"")"),2)</f>
        <v>2</v>
      </c>
      <c r="K164" s="284">
        <f ca="1">IF(I164&gt;0,J164*100/I164,0)</f>
        <v>66.666666666666671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IFERROR(__xludf.DUMMYFUNCTION("IMPORTRANGE(""https://docs.google.com/spreadsheets/d/11923uPwbBZFjjGgGUA6NLw09EwE0CqkOc4q9oUmW1yo/edit?usp=sharing"",""แพร่!I101"")"),0)</f>
        <v>0</v>
      </c>
      <c r="J176" s="283">
        <f ca="1">IFERROR(__xludf.DUMMYFUNCTION("IMPORTRANGE(""https://docs.google.com/spreadsheets/d/11923uPwbBZFjjGgGUA6NLw09EwE0CqkOc4q9oUmW1yo/edit?usp=sharing"",""แพร่!J101"")"),0)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IFERROR(__xludf.DUMMYFUNCTION("IMPORTRANGE(""https://docs.google.com/spreadsheets/d/11923uPwbBZFjjGgGUA6NLw09EwE0CqkOc4q9oUmW1yo/edit?usp=sharing"",""แพร่!J113"")"),0)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IFERROR(__xludf.DUMMYFUNCTION("IMPORTRANGE(""https://docs.google.com/spreadsheets/d/11923uPwbBZFjjGgGUA6NLw09EwE0CqkOc4q9oUmW1yo/edit?usp=sharing"",""แพร่!I114"")"),50000)</f>
        <v>50000</v>
      </c>
      <c r="J189" s="283">
        <f ca="1">IFERROR(__xludf.DUMMYFUNCTION("IMPORTRANGE(""https://docs.google.com/spreadsheets/d/11923uPwbBZFjjGgGUA6NLw09EwE0CqkOc4q9oUmW1yo/edit?usp=sharing"",""แพร่!J114"")"),0)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IFERROR(__xludf.DUMMYFUNCTION("IMPORTRANGE(""https://docs.google.com/spreadsheets/d/11923uPwbBZFjjGgGUA6NLw09EwE0CqkOc4q9oUmW1yo/edit?usp=sharing"",""แพร่!J128"")"),0)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IFERROR(__xludf.DUMMYFUNCTION("IMPORTRANGE(""https://docs.google.com/spreadsheets/d/11923uPwbBZFjjGgGUA6NLw09EwE0CqkOc4q9oUmW1yo/edit?usp=sharing"",""แพร่!I129"")"),0)</f>
        <v>0</v>
      </c>
      <c r="J204" s="283">
        <f ca="1">IFERROR(__xludf.DUMMYFUNCTION("IMPORTRANGE(""https://docs.google.com/spreadsheets/d/11923uPwbBZFjjGgGUA6NLw09EwE0CqkOc4q9oUmW1yo/edit?usp=sharing"",""แพร่!J129"")"),0)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IFERROR(__xludf.DUMMYFUNCTION("IMPORTRANGE(""https://docs.google.com/spreadsheets/d/11923uPwbBZFjjGgGUA6NLw09EwE0CqkOc4q9oUmW1yo/edit?usp=sharing"",""แพร่!J143"")"),0)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IFERROR(__xludf.DUMMYFUNCTION("IMPORTRANGE(""https://docs.google.com/spreadsheets/d/11923uPwbBZFjjGgGUA6NLw09EwE0CqkOc4q9oUmW1yo/edit?usp=sharing"",""แพร่!I144"")"),15)</f>
        <v>15</v>
      </c>
      <c r="J219" s="266">
        <f ca="1">IFERROR(__xludf.DUMMYFUNCTION("IMPORTRANGE(""https://docs.google.com/spreadsheets/d/11923uPwbBZFjjGgGUA6NLw09EwE0CqkOc4q9oUmW1yo/edit?usp=sharing"",""แพร่!J144"")"),15)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IFERROR(__xludf.DUMMYFUNCTION("IMPORTRANGE(""https://docs.google.com/spreadsheets/d/11923uPwbBZFjjGgGUA6NLw09EwE0CqkOc4q9oUmW1yo/edit?usp=sharing"",""แพร่!I149"")"),15)</f>
        <v>15</v>
      </c>
      <c r="J229" s="266">
        <f ca="1">IFERROR(__xludf.DUMMYFUNCTION("IMPORTRANGE(""https://docs.google.com/spreadsheets/d/11923uPwbBZFjjGgGUA6NLw09EwE0CqkOc4q9oUmW1yo/edit?usp=sharing"",""แพร่!J149"")"),15)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IFERROR(__xludf.DUMMYFUNCTION("IMPORTRANGE(""https://docs.google.com/spreadsheets/d/11923uPwbBZFjjGgGUA6NLw09EwE0CqkOc4q9oUmW1yo/edit?usp=sharing"",""แพร่!I158"")"),0)</f>
        <v>0</v>
      </c>
      <c r="J238" s="266">
        <f ca="1">IFERROR(__xludf.DUMMYFUNCTION("IMPORTRANGE(""https://docs.google.com/spreadsheets/d/11923uPwbBZFjjGgGUA6NLw09EwE0CqkOc4q9oUmW1yo/edit?usp=sharing"",""แพร่!J158"")"),0)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IFERROR(__xludf.DUMMYFUNCTION("IMPORTRANGE(""https://docs.google.com/spreadsheets/d/11923uPwbBZFjjGgGUA6NLw09EwE0CqkOc4q9oUmW1yo/edit?usp=sharing"",""แพร่!J166"")"),0)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IFERROR(__xludf.DUMMYFUNCTION("IMPORTRANGE(""https://docs.google.com/spreadsheets/d/11923uPwbBZFjjGgGUA6NLw09EwE0CqkOc4q9oUmW1yo/edit?usp=sharing"",""แพร่!I169"")"),30)</f>
        <v>30</v>
      </c>
      <c r="J249" s="315">
        <f ca="1">IFERROR(__xludf.DUMMYFUNCTION("IMPORTRANGE(""https://docs.google.com/spreadsheets/d/11923uPwbBZFjjGgGUA6NLw09EwE0CqkOc4q9oUmW1yo/edit?usp=sharing"",""แพร่!J169"")"),30)</f>
        <v>30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195000</v>
      </c>
      <c r="N250" s="152">
        <f t="shared" ca="1" si="77"/>
        <v>133400</v>
      </c>
      <c r="O250" s="151">
        <f t="shared" ref="O250:O252" ca="1" si="78">IF(L250&gt;0,N250*100/L250,0)</f>
        <v>61.474654377880185</v>
      </c>
      <c r="P250" s="151">
        <f t="shared" ref="P250:P252" ca="1" si="79">IF(M250&gt;0,N250*100/M250,0)</f>
        <v>68.410256410256409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195000</v>
      </c>
      <c r="N252" s="88">
        <f t="shared" ca="1" si="81"/>
        <v>133400</v>
      </c>
      <c r="O252" s="156">
        <f t="shared" ca="1" si="78"/>
        <v>61.474654377880185</v>
      </c>
      <c r="P252" s="156">
        <f t="shared" ca="1" si="79"/>
        <v>68.410256410256409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IFERROR(__xludf.DUMMYFUNCTION("IMPORTRANGE(""https://docs.google.com/spreadsheets/d/1Yj_ptqi66GCucihVvJfMjLAmec39IyEx_6qawtMGysU/edit?usp=sharing"",""สบก!CB30"")"),195000)</f>
        <v>195000</v>
      </c>
      <c r="N254" s="168">
        <f ca="1">IFERROR(__xludf.DUMMYFUNCTION("IMPORTRANGE(""https://docs.google.com/spreadsheets/d/1Yj_ptqi66GCucihVvJfMjLAmec39IyEx_6qawtMGysU/edit?usp=sharing"",""สบก!CC30"")"),133400)</f>
        <v>133400</v>
      </c>
      <c r="O254" s="168">
        <f ca="1">IF(L254&gt;0,N254*100/L254,0)</f>
        <v>61.474654377880185</v>
      </c>
      <c r="P254" s="168">
        <f ca="1">IF(M254&gt;0,N254*100/M254,0)</f>
        <v>68.410256410256409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IFERROR(__xludf.DUMMYFUNCTION("IMPORTRANGE(""https://docs.google.com/spreadsheets/d/11923uPwbBZFjjGgGUA6NLw09EwE0CqkOc4q9oUmW1yo/edit?usp=sharing"",""แพร่!J184"")"),0)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IFERROR(__xludf.DUMMYFUNCTION("IMPORTRANGE(""https://docs.google.com/spreadsheets/d/11923uPwbBZFjjGgGUA6NLw09EwE0CqkOc4q9oUmW1yo/edit?usp=sharing"",""แพร่!I185"")"),20)</f>
        <v>20</v>
      </c>
      <c r="J270" s="315">
        <f ca="1">IFERROR(__xludf.DUMMYFUNCTION("IMPORTRANGE(""https://docs.google.com/spreadsheets/d/11923uPwbBZFjjGgGUA6NLw09EwE0CqkOc4q9oUmW1yo/edit?usp=sharing"",""แพร่!J185"")"),20)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132000</v>
      </c>
      <c r="N271" s="152">
        <f t="shared" ca="1" si="83"/>
        <v>118150</v>
      </c>
      <c r="O271" s="151">
        <f t="shared" ref="O271:O273" ca="1" si="84">IF(L271&gt;0,N271*100/L271,0)</f>
        <v>57.438016528925623</v>
      </c>
      <c r="P271" s="151">
        <f t="shared" ref="P271:P273" ca="1" si="85">IF(M271&gt;0,N271*100/M271,0)</f>
        <v>89.507575757575751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132000</v>
      </c>
      <c r="N273" s="88">
        <f t="shared" ca="1" si="87"/>
        <v>118150</v>
      </c>
      <c r="O273" s="156">
        <f t="shared" ca="1" si="84"/>
        <v>57.438016528925623</v>
      </c>
      <c r="P273" s="156">
        <f t="shared" ca="1" si="85"/>
        <v>89.507575757575751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IFERROR(__xludf.DUMMYFUNCTION("IMPORTRANGE(""https://docs.google.com/spreadsheets/d/1Yj_ptqi66GCucihVvJfMjLAmec39IyEx_6qawtMGysU/edit?usp=sharing"",""สบก!CK30"")"),132000)</f>
        <v>132000</v>
      </c>
      <c r="N275" s="168">
        <f ca="1">IFERROR(__xludf.DUMMYFUNCTION("IMPORTRANGE(""https://docs.google.com/spreadsheets/d/1Yj_ptqi66GCucihVvJfMjLAmec39IyEx_6qawtMGysU/edit?usp=sharing"",""สบก!CL30"")"),118150)</f>
        <v>118150</v>
      </c>
      <c r="O275" s="168">
        <f ca="1">IF(L275&gt;0,N275*100/L275,0)</f>
        <v>57.438016528925623</v>
      </c>
      <c r="P275" s="168">
        <f ca="1">IF(M275&gt;0,N275*100/M275,0)</f>
        <v>89.507575757575751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IFERROR(__xludf.DUMMYFUNCTION("IMPORTRANGE(""https://docs.google.com/spreadsheets/d/11923uPwbBZFjjGgGUA6NLw09EwE0CqkOc4q9oUmW1yo/edit?usp=sharing"",""แพร่!I199"")"),0)</f>
        <v>0</v>
      </c>
      <c r="J289" s="315">
        <f ca="1">IFERROR(__xludf.DUMMYFUNCTION("IMPORTRANGE(""https://docs.google.com/spreadsheets/d/11923uPwbBZFjjGgGUA6NLw09EwE0CqkOc4q9oUmW1yo/edit?usp=sharing"",""แพร่!J199"")"),0)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IFERROR(__xludf.DUMMYFUNCTION("IMPORTRANGE(""https://docs.google.com/spreadsheets/d/11923uPwbBZFjjGgGUA6NLw09EwE0CqkOc4q9oUmW1yo/edit?usp=sharing"",""แพร่!J213"")"),0)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IFERROR(__xludf.DUMMYFUNCTION("IMPORTRANGE(""https://docs.google.com/spreadsheets/d/11923uPwbBZFjjGgGUA6NLw09EwE0CqkOc4q9oUmW1yo/edit?usp=sharing"",""แพร่!I214"")"),0)</f>
        <v>0</v>
      </c>
      <c r="J309" s="332">
        <f ca="1">IFERROR(__xludf.DUMMYFUNCTION("IMPORTRANGE(""https://docs.google.com/spreadsheets/d/11923uPwbBZFjjGgGUA6NLw09EwE0CqkOc4q9oUmW1yo/edit?usp=sharing"",""แพร่!J214"")"),0)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IFERROR(__xludf.DUMMYFUNCTION("IMPORTRANGE(""https://docs.google.com/spreadsheets/d/11923uPwbBZFjjGgGUA6NLw09EwE0CqkOc4q9oUmW1yo/edit?usp=sharing"",""แพร่!J226"")"),0)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IFERROR(__xludf.DUMMYFUNCTION("IMPORTRANGE(""https://docs.google.com/spreadsheets/d/11923uPwbBZFjjGgGUA6NLw09EwE0CqkOc4q9oUmW1yo/edit?usp=sharing"",""แพร่!I228"")"),360)</f>
        <v>360</v>
      </c>
      <c r="J328" s="338">
        <f ca="1">IFERROR(__xludf.DUMMYFUNCTION("IMPORTRANGE(""https://docs.google.com/spreadsheets/d/11923uPwbBZFjjGgGUA6NLw09EwE0CqkOc4q9oUmW1yo/edit?usp=sharing"",""แพร่!J228"")"),312)</f>
        <v>312</v>
      </c>
      <c r="K328" s="316">
        <f ca="1">IF(I328&gt;0,J328*100/I328,0)</f>
        <v>86.666666666666671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618520</v>
      </c>
      <c r="N329" s="152">
        <f t="shared" ca="1" si="98"/>
        <v>474713.59</v>
      </c>
      <c r="O329" s="151">
        <f t="shared" ref="O329:O331" ca="1" si="99">IF(L329&gt;0,N329*100/L329,0)</f>
        <v>56.976114405050531</v>
      </c>
      <c r="P329" s="151">
        <f t="shared" ref="P329:P331" ca="1" si="100">IF(M329&gt;0,N329*100/M329,0)</f>
        <v>76.749917545107678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618520</v>
      </c>
      <c r="N331" s="88">
        <f t="shared" ca="1" si="102"/>
        <v>474713.59</v>
      </c>
      <c r="O331" s="156">
        <f t="shared" ca="1" si="99"/>
        <v>56.976114405050531</v>
      </c>
      <c r="P331" s="156">
        <f t="shared" ca="1" si="100"/>
        <v>76.749917545107678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IFERROR(__xludf.DUMMYFUNCTION("IMPORTRANGE(""https://docs.google.com/spreadsheets/d/1Yj_ptqi66GCucihVvJfMjLAmec39IyEx_6qawtMGysU/edit?usp=sharing"",""สบก!DL30"")"),608520)</f>
        <v>608520</v>
      </c>
      <c r="N333" s="168">
        <f ca="1">IFERROR(__xludf.DUMMYFUNCTION("IMPORTRANGE(""https://docs.google.com/spreadsheets/d/1Yj_ptqi66GCucihVvJfMjLAmec39IyEx_6qawtMGysU/edit?usp=sharing"",""สบก!DM30"")"),464713.59)</f>
        <v>464713.59</v>
      </c>
      <c r="O333" s="168">
        <f ca="1">IF(L333&gt;0,N333*100/L333,0)</f>
        <v>56.453459753638327</v>
      </c>
      <c r="P333" s="168">
        <f ca="1">IF(M333&gt;0,N333*100/M333,0)</f>
        <v>76.367841648590016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IFERROR(__xludf.DUMMYFUNCTION("IMPORTRANGE(""https://docs.google.com/spreadsheets/d/11923uPwbBZFjjGgGUA6NLw09EwE0CqkOc4q9oUmW1yo/edit?usp=sharing"",""แพร่!J234"")"),127)</f>
        <v>127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IFERROR(__xludf.DUMMYFUNCTION("IMPORTRANGE(""https://docs.google.com/spreadsheets/d/11923uPwbBZFjjGgGUA6NLw09EwE0CqkOc4q9oUmW1yo/edit?usp=sharing"",""แพร่!J235"")"),953.41)</f>
        <v>953.41</v>
      </c>
      <c r="K340" s="341">
        <f t="shared" ca="1" si="103"/>
        <v>73.339230769230767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IFERROR(__xludf.DUMMYFUNCTION("IMPORTRANGE(""https://docs.google.com/spreadsheets/d/11923uPwbBZFjjGgGUA6NLw09EwE0CqkOc4q9oUmW1yo/edit?usp=sharing"",""แพร่!J236"")"),353)</f>
        <v>353</v>
      </c>
      <c r="K341" s="341">
        <f t="shared" ca="1" si="103"/>
        <v>98.055555555555557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IFERROR(__xludf.DUMMYFUNCTION("IMPORTRANGE(""https://docs.google.com/spreadsheets/d/11923uPwbBZFjjGgGUA6NLw09EwE0CqkOc4q9oUmW1yo/edit?usp=sharing"",""แพร่!J237"")"),3031.66)</f>
        <v>3031.66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IFERROR(__xludf.DUMMYFUNCTION("IMPORTRANGE(""https://docs.google.com/spreadsheets/d/11923uPwbBZFjjGgGUA6NLw09EwE0CqkOc4q9oUmW1yo/edit?usp=sharing"",""แพร่!J240"")"),312)</f>
        <v>312</v>
      </c>
      <c r="K345" s="341">
        <f t="shared" ca="1" si="103"/>
        <v>86.666666666666671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IFERROR(__xludf.DUMMYFUNCTION("IMPORTRANGE(""https://docs.google.com/spreadsheets/d/11923uPwbBZFjjGgGUA6NLw09EwE0CqkOc4q9oUmW1yo/edit?usp=sharing"",""แพร่!J241"")"),2732.62999999999)</f>
        <v>2732.6299999999901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IFERROR(__xludf.DUMMYFUNCTION("IMPORTRANGE(""https://docs.google.com/spreadsheets/d/11923uPwbBZFjjGgGUA6NLw09EwE0CqkOc4q9oUmW1yo/edit?usp=sharing"",""แพร่!L242"")"),1863959.87)</f>
        <v>1863959.87</v>
      </c>
      <c r="M347" s="357"/>
      <c r="N347" s="357">
        <f ca="1">IFERROR(__xludf.DUMMYFUNCTION("IMPORTRANGE(""https://docs.google.com/spreadsheets/d/11923uPwbBZFjjGgGUA6NLw09EwE0CqkOc4q9oUmW1yo/edit?usp=sharing"",""แพร่!M242"")"),737562.85)</f>
        <v>737562.85</v>
      </c>
      <c r="O347" s="357">
        <f ca="1">+IF(L347&gt;0,N347*100/L347,0)</f>
        <v>39.569674319222329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IFERROR(__xludf.DUMMYFUNCTION("IMPORTRANGE(""https://docs.google.com/spreadsheets/d/11923uPwbBZFjjGgGUA6NLw09EwE0CqkOc4q9oUmW1yo/edit?usp=sharing"",""แพร่!M244"")"),266836)</f>
        <v>266836</v>
      </c>
      <c r="O349" s="372">
        <f ca="1">+IF(L349&gt;0,N349*100/L349,0)</f>
        <v>76.670401976841077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IFERROR(__xludf.DUMMYFUNCTION("IMPORTRANGE(""https://docs.google.com/spreadsheets/d/11923uPwbBZFjjGgGUA6NLw09EwE0CqkOc4q9oUmW1yo/edit?usp=sharing"",""แพร่!M247"")"),266836)</f>
        <v>266836</v>
      </c>
      <c r="O352" s="165">
        <f t="shared" ca="1" si="105"/>
        <v>76.670401976841077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IFERROR(__xludf.DUMMYFUNCTION("IMPORTRANGE(""https://docs.google.com/spreadsheets/d/11923uPwbBZFjjGgGUA6NLw09EwE0CqkOc4q9oUmW1yo/edit?usp=sharing"",""แพร่!M249"")"),266836)</f>
        <v>266836</v>
      </c>
      <c r="O354" s="168">
        <f t="shared" ca="1" si="105"/>
        <v>76.670401976841077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IFERROR(__xludf.DUMMYFUNCTION("IMPORTRANGE(""https://docs.google.com/spreadsheets/d/11923uPwbBZFjjGgGUA6NLw09EwE0CqkOc4q9oUmW1yo/edit?usp=sharing"",""แพร่!M250"")"),85151)</f>
        <v>85151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IFERROR(__xludf.DUMMYFUNCTION("IMPORTRANGE(""https://docs.google.com/spreadsheets/d/11923uPwbBZFjjGgGUA6NLw09EwE0CqkOc4q9oUmW1yo/edit?usp=sharing"",""แพร่!M251"")"),100000)</f>
        <v>100000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IFERROR(__xludf.DUMMYFUNCTION("IMPORTRANGE(""https://docs.google.com/spreadsheets/d/11923uPwbBZFjjGgGUA6NLw09EwE0CqkOc4q9oUmW1yo/edit?usp=sharing"",""แพร่!M252"")"),66000)</f>
        <v>66000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IFERROR(__xludf.DUMMYFUNCTION("IMPORTRANGE(""https://docs.google.com/spreadsheets/d/11923uPwbBZFjjGgGUA6NLw09EwE0CqkOc4q9oUmW1yo/edit?usp=sharing"",""แพร่!M253"")"),15685)</f>
        <v>15685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IFERROR(__xludf.DUMMYFUNCTION("IMPORTRANGE(""https://docs.google.com/spreadsheets/d/11923uPwbBZFjjGgGUA6NLw09EwE0CqkOc4q9oUmW1yo/edit?usp=sharing"",""แพร่!M275"")"),241018.45)</f>
        <v>241018.45</v>
      </c>
      <c r="O380" s="372">
        <f ca="1">+IF(L380&gt;0,N380*100/L380,0)</f>
        <v>23.433520981604637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IFERROR(__xludf.DUMMYFUNCTION("IMPORTRANGE(""https://docs.google.com/spreadsheets/d/11923uPwbBZFjjGgGUA6NLw09EwE0CqkOc4q9oUmW1yo/edit?usp=sharing"",""แพร่!J276"")"),50)</f>
        <v>50</v>
      </c>
      <c r="K381" s="371">
        <f t="shared" ca="1" si="108"/>
        <v>50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IFERROR(__xludf.DUMMYFUNCTION("IMPORTRANGE(""https://docs.google.com/spreadsheets/d/11923uPwbBZFjjGgGUA6NLw09EwE0CqkOc4q9oUmW1yo/edit?usp=sharing"",""แพร่!M278"")"),241018.45)</f>
        <v>241018.45</v>
      </c>
      <c r="O383" s="165">
        <f t="shared" ca="1" si="109"/>
        <v>23.433520981604637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IFERROR(__xludf.DUMMYFUNCTION("IMPORTRANGE(""https://docs.google.com/spreadsheets/d/11923uPwbBZFjjGgGUA6NLw09EwE0CqkOc4q9oUmW1yo/edit?usp=sharing"",""แพร่!M280"")"),241018.45)</f>
        <v>241018.45</v>
      </c>
      <c r="O385" s="168">
        <f t="shared" ca="1" si="109"/>
        <v>23.433520981604637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IFERROR(__xludf.DUMMYFUNCTION("IMPORTRANGE(""https://docs.google.com/spreadsheets/d/11923uPwbBZFjjGgGUA6NLw09EwE0CqkOc4q9oUmW1yo/edit?usp=sharing"",""แพร่!M281"")"),174392)</f>
        <v>174392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IFERROR(__xludf.DUMMYFUNCTION("IMPORTRANGE(""https://docs.google.com/spreadsheets/d/11923uPwbBZFjjGgGUA6NLw09EwE0CqkOc4q9oUmW1yo/edit?usp=sharing"",""แพร่!M283"")"),55000)</f>
        <v>55000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IFERROR(__xludf.DUMMYFUNCTION("IMPORTRANGE(""https://docs.google.com/spreadsheets/d/11923uPwbBZFjjGgGUA6NLw09EwE0CqkOc4q9oUmW1yo/edit?usp=sharing"",""แพร่!M284"")"),11626.45)</f>
        <v>11626.45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IFERROR(__xludf.DUMMYFUNCTION("IMPORTRANGE(""https://docs.google.com/spreadsheets/d/11923uPwbBZFjjGgGUA6NLw09EwE0CqkOc4q9oUmW1yo/edit?usp=sharing"",""แพร่!J291"")"),50)</f>
        <v>50</v>
      </c>
      <c r="K396" s="163">
        <f t="shared" ref="K396:K398" ca="1" si="110">IF(I396&gt;0,J396*100/I396,0)</f>
        <v>50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IFERROR(__xludf.DUMMYFUNCTION("IMPORTRANGE(""https://docs.google.com/spreadsheets/d/11923uPwbBZFjjGgGUA6NLw09EwE0CqkOc4q9oUmW1yo/edit?usp=sharing"",""แพร่!M296"")"),48665)</f>
        <v>48665</v>
      </c>
      <c r="O401" s="372">
        <f ca="1">+IF(L401&gt;0,N401*100/L401,0)</f>
        <v>36.042808472818841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IFERROR(__xludf.DUMMYFUNCTION("IMPORTRANGE(""https://docs.google.com/spreadsheets/d/11923uPwbBZFjjGgGUA6NLw09EwE0CqkOc4q9oUmW1yo/edit?usp=sharing"",""แพร่!J297"")"),10)</f>
        <v>10</v>
      </c>
      <c r="K402" s="371">
        <f t="shared" ca="1" si="111"/>
        <v>25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IFERROR(__xludf.DUMMYFUNCTION("IMPORTRANGE(""https://docs.google.com/spreadsheets/d/11923uPwbBZFjjGgGUA6NLw09EwE0CqkOc4q9oUmW1yo/edit?usp=sharing"",""แพร่!M299"")"),48665)</f>
        <v>48665</v>
      </c>
      <c r="O404" s="168">
        <f t="shared" ca="1" si="112"/>
        <v>36.042808472818841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IFERROR(__xludf.DUMMYFUNCTION("IMPORTRANGE(""https://docs.google.com/spreadsheets/d/11923uPwbBZFjjGgGUA6NLw09EwE0CqkOc4q9oUmW1yo/edit?usp=sharing"",""แพร่!M301"")"),48665)</f>
        <v>48665</v>
      </c>
      <c r="O406" s="168">
        <f t="shared" ca="1" si="112"/>
        <v>36.042808472818841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IFERROR(__xludf.DUMMYFUNCTION("IMPORTRANGE(""https://docs.google.com/spreadsheets/d/11923uPwbBZFjjGgGUA6NLw09EwE0CqkOc4q9oUmW1yo/edit?usp=sharing"",""แพร่!M302"")"),38710)</f>
        <v>38710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IFERROR(__xludf.DUMMYFUNCTION("IMPORTRANGE(""https://docs.google.com/spreadsheets/d/11923uPwbBZFjjGgGUA6NLw09EwE0CqkOc4q9oUmW1yo/edit?usp=sharing"",""แพร่!M305"")"),9955)</f>
        <v>9955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IFERROR(__xludf.DUMMYFUNCTION("IMPORTRANGE(""https://docs.google.com/spreadsheets/d/11923uPwbBZFjjGgGUA6NLw09EwE0CqkOc4q9oUmW1yo/edit?usp=sharing"",""แพร่!J311"")"),10)</f>
        <v>10</v>
      </c>
      <c r="K416" s="201">
        <f t="shared" ref="K416:K432" ca="1" si="113">IF(I416&gt;0,J416*100/I416,0)</f>
        <v>25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IFERROR(__xludf.DUMMYFUNCTION("IMPORTRANGE(""https://docs.google.com/spreadsheets/d/11923uPwbBZFjjGgGUA6NLw09EwE0CqkOc4q9oUmW1yo/edit?usp=sharing"",""แพร่!M330"")"),83271.4)</f>
        <v>83271.399999999994</v>
      </c>
      <c r="O435" s="411">
        <f t="shared" ref="O435:O439" ca="1" si="114">+IF(L435&gt;0,N435*100/L435,0)</f>
        <v>83.271399999999986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IFERROR(__xludf.DUMMYFUNCTION("IMPORTRANGE(""https://docs.google.com/spreadsheets/d/11923uPwbBZFjjGgGUA6NLw09EwE0CqkOc4q9oUmW1yo/edit?usp=sharing"",""แพร่!M332"")"),83271.4)</f>
        <v>83271.399999999994</v>
      </c>
      <c r="O437" s="168">
        <f t="shared" ca="1" si="114"/>
        <v>83.271399999999986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IFERROR(__xludf.DUMMYFUNCTION("IMPORTRANGE(""https://docs.google.com/spreadsheets/d/11923uPwbBZFjjGgGUA6NLw09EwE0CqkOc4q9oUmW1yo/edit?usp=sharing"",""แพร่!M334"")"),83271.4)</f>
        <v>83271.399999999994</v>
      </c>
      <c r="O439" s="168">
        <f t="shared" ca="1" si="114"/>
        <v>83.271399999999986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IFERROR(__xludf.DUMMYFUNCTION("IMPORTRANGE(""https://docs.google.com/spreadsheets/d/11923uPwbBZFjjGgGUA6NLw09EwE0CqkOc4q9oUmW1yo/edit?usp=sharing"",""แพร่!M335"")"),79922.4)</f>
        <v>79922.399999999994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IFERROR(__xludf.DUMMYFUNCTION("IMPORTRANGE(""https://docs.google.com/spreadsheets/d/11923uPwbBZFjjGgGUA6NLw09EwE0CqkOc4q9oUmW1yo/edit?usp=sharing"",""แพร่!L350"")"),87019.87)</f>
        <v>87019.87</v>
      </c>
      <c r="M455" s="372"/>
      <c r="N455" s="372">
        <f ca="1">IFERROR(__xludf.DUMMYFUNCTION("IMPORTRANGE(""https://docs.google.com/spreadsheets/d/11923uPwbBZFjjGgGUA6NLw09EwE0CqkOc4q9oUmW1yo/edit?usp=sharing"",""แพร่!M350"")"),40375)</f>
        <v>40375</v>
      </c>
      <c r="O455" s="372">
        <f t="shared" ref="O455:O459" ca="1" si="116">+IF(L455&gt;0,N455*100/L455,0)</f>
        <v>46.397449226251432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IFERROR(__xludf.DUMMYFUNCTION("IMPORTRANGE(""https://docs.google.com/spreadsheets/d/11923uPwbBZFjjGgGUA6NLw09EwE0CqkOc4q9oUmW1yo/edit?usp=sharing"",""แพร่!L352"")"),87019.87)</f>
        <v>87019.87</v>
      </c>
      <c r="M457" s="165"/>
      <c r="N457" s="168">
        <f ca="1">IFERROR(__xludf.DUMMYFUNCTION("IMPORTRANGE(""https://docs.google.com/spreadsheets/d/11923uPwbBZFjjGgGUA6NLw09EwE0CqkOc4q9oUmW1yo/edit?usp=sharing"",""แพร่!M352"")"),40375)</f>
        <v>40375</v>
      </c>
      <c r="O457" s="168">
        <f t="shared" ca="1" si="116"/>
        <v>46.397449226251432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IFERROR(__xludf.DUMMYFUNCTION("IMPORTRANGE(""https://docs.google.com/spreadsheets/d/11923uPwbBZFjjGgGUA6NLw09EwE0CqkOc4q9oUmW1yo/edit?usp=sharing"",""แพร่!L354"")"),87019.87)</f>
        <v>87019.87</v>
      </c>
      <c r="M459" s="168"/>
      <c r="N459" s="168">
        <f ca="1">IFERROR(__xludf.DUMMYFUNCTION("IMPORTRANGE(""https://docs.google.com/spreadsheets/d/11923uPwbBZFjjGgGUA6NLw09EwE0CqkOc4q9oUmW1yo/edit?usp=sharing"",""แพร่!M354"")"),40375)</f>
        <v>40375</v>
      </c>
      <c r="O459" s="168">
        <f t="shared" ca="1" si="116"/>
        <v>46.397449226251432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IFERROR(__xludf.DUMMYFUNCTION("IMPORTRANGE(""https://docs.google.com/spreadsheets/d/11923uPwbBZFjjGgGUA6NLw09EwE0CqkOc4q9oUmW1yo/edit?usp=sharing"",""แพร่!M358"")"),40375)</f>
        <v>40375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IFERROR(__xludf.DUMMYFUNCTION("IMPORTRANGE(""https://docs.google.com/spreadsheets/d/11923uPwbBZFjjGgGUA6NLw09EwE0CqkOc4q9oUmW1yo/edit?usp=sharing"",""แพร่!I359"")"),5092)</f>
        <v>5092</v>
      </c>
      <c r="J464" s="266">
        <f ca="1">IFERROR(__xludf.DUMMYFUNCTION("IMPORTRANGE(""https://docs.google.com/spreadsheets/d/11923uPwbBZFjjGgGUA6NLw09EwE0CqkOc4q9oUmW1yo/edit?usp=sharing"",""แพร่!J359"")"),5092)</f>
        <v>5092</v>
      </c>
      <c r="K464" s="267">
        <f t="shared" ref="K464:K515" ca="1" si="117">IF(I464&gt;0,J464*100/I464,0)</f>
        <v>100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IFERROR(__xludf.DUMMYFUNCTION("IMPORTRANGE(""https://docs.google.com/spreadsheets/d/11923uPwbBZFjjGgGUA6NLw09EwE0CqkOc4q9oUmW1yo/edit?usp=sharing"",""แพร่!J360"")"),5091.99)</f>
        <v>5091.99</v>
      </c>
      <c r="K465" s="201">
        <f t="shared" ca="1" si="117"/>
        <v>99.999803613511389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IFERROR(__xludf.DUMMYFUNCTION("IMPORTRANGE(""https://docs.google.com/spreadsheets/d/11923uPwbBZFjjGgGUA6NLw09EwE0CqkOc4q9oUmW1yo/edit?usp=sharing"",""แพร่!J362"")"),3692)</f>
        <v>3692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IFERROR(__xludf.DUMMYFUNCTION("IMPORTRANGE(""https://docs.google.com/spreadsheets/d/11923uPwbBZFjjGgGUA6NLw09EwE0CqkOc4q9oUmW1yo/edit?usp=sharing"",""แพร่!J363"")"),859)</f>
        <v>859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IFERROR(__xludf.DUMMYFUNCTION("IMPORTRANGE(""https://docs.google.com/spreadsheets/d/11923uPwbBZFjjGgGUA6NLw09EwE0CqkOc4q9oUmW1yo/edit?usp=sharing"",""แพร่!J364"")"),1311)</f>
        <v>1311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IFERROR(__xludf.DUMMYFUNCTION("IMPORTRANGE(""https://docs.google.com/spreadsheets/d/11923uPwbBZFjjGgGUA6NLw09EwE0CqkOc4q9oUmW1yo/edit?usp=sharing"",""แพร่!J366"")"),88.99)</f>
        <v>88.99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IFERROR(__xludf.DUMMYFUNCTION("IMPORTRANGE(""https://docs.google.com/spreadsheets/d/11923uPwbBZFjjGgGUA6NLw09EwE0CqkOc4q9oUmW1yo/edit?usp=sharing"",""แพร่!J367"")"),22)</f>
        <v>22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IFERROR(__xludf.DUMMYFUNCTION("IMPORTRANGE(""https://docs.google.com/spreadsheets/d/11923uPwbBZFjjGgGUA6NLw09EwE0CqkOc4q9oUmW1yo/edit?usp=sharing"",""แพร่!J378"")"),3579)</f>
        <v>3579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IFERROR(__xludf.DUMMYFUNCTION("IMPORTRANGE(""https://docs.google.com/spreadsheets/d/11923uPwbBZFjjGgGUA6NLw09EwE0CqkOc4q9oUmW1yo/edit?usp=sharing"",""แพร่!J379"")"),848)</f>
        <v>848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IFERROR(__xludf.DUMMYFUNCTION("IMPORTRANGE(""https://docs.google.com/spreadsheets/d/11923uPwbBZFjjGgGUA6NLw09EwE0CqkOc4q9oUmW1yo/edit?usp=sharing"",""แพร่!I411"")"),0)</f>
        <v>0</v>
      </c>
      <c r="J516" s="266">
        <f ca="1">IFERROR(__xludf.DUMMYFUNCTION("IMPORTRANGE(""https://docs.google.com/spreadsheets/d/11923uPwbBZFjjGgGUA6NLw09EwE0CqkOc4q9oUmW1yo/edit?usp=sharing"",""แพร่!J411"")"),0)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IFERROR(__xludf.DUMMYFUNCTION("IMPORTRANGE(""https://docs.google.com/spreadsheets/d/11923uPwbBZFjjGgGUA6NLw09EwE0CqkOc4q9oUmW1yo/edit?usp=sharing"",""แพร่!I412"")"),0)</f>
        <v>0</v>
      </c>
      <c r="J517" s="283">
        <f ca="1">IFERROR(__xludf.DUMMYFUNCTION("IMPORTRANGE(""https://docs.google.com/spreadsheets/d/11923uPwbBZFjjGgGUA6NLw09EwE0CqkOc4q9oUmW1yo/edit?usp=sharing"",""แพร่!J412"")"),0)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IFERROR(__xludf.DUMMYFUNCTION("IMPORTRANGE(""https://docs.google.com/spreadsheets/d/11923uPwbBZFjjGgGUA6NLw09EwE0CqkOc4q9oUmW1yo/edit?usp=sharing"",""แพร่!I413"")"),0)</f>
        <v>0</v>
      </c>
      <c r="J518" s="283">
        <f ca="1">IFERROR(__xludf.DUMMYFUNCTION("IMPORTRANGE(""https://docs.google.com/spreadsheets/d/11923uPwbBZFjjGgGUA6NLw09EwE0CqkOc4q9oUmW1yo/edit?usp=sharing"",""แพร่!J413"")"),0)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IFERROR(__xludf.DUMMYFUNCTION("IMPORTRANGE(""https://docs.google.com/spreadsheets/d/11923uPwbBZFjjGgGUA6NLw09EwE0CqkOc4q9oUmW1yo/edit?usp=sharing"",""แพร่!I420"")"),14)</f>
        <v>14</v>
      </c>
      <c r="J525" s="283">
        <f ca="1">IFERROR(__xludf.DUMMYFUNCTION("IMPORTRANGE(""https://docs.google.com/spreadsheets/d/11923uPwbBZFjjGgGUA6NLw09EwE0CqkOc4q9oUmW1yo/edit?usp=sharing"",""แพร่!J420"")"),0)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IFERROR(__xludf.DUMMYFUNCTION("IMPORTRANGE(""https://docs.google.com/spreadsheets/d/11923uPwbBZFjjGgGUA6NLw09EwE0CqkOc4q9oUmW1yo/edit?usp=sharing"",""แพร่!I421"")"),5)</f>
        <v>5</v>
      </c>
      <c r="J526" s="283">
        <f ca="1">IFERROR(__xludf.DUMMYFUNCTION("IMPORTRANGE(""https://docs.google.com/spreadsheets/d/11923uPwbBZFjjGgGUA6NLw09EwE0CqkOc4q9oUmW1yo/edit?usp=sharing"",""แพร่!J421"")"),0)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IFERROR(__xludf.DUMMYFUNCTION("IMPORTRANGE(""https://docs.google.com/spreadsheets/d/11923uPwbBZFjjGgGUA6NLw09EwE0CqkOc4q9oUmW1yo/edit?usp=sharing"",""แพร่!M428"")"),21312)</f>
        <v>21312</v>
      </c>
      <c r="O533" s="411">
        <f t="shared" ref="O533:O537" ca="1" si="118">+IF(L533&gt;0,N533*100/L533,0)</f>
        <v>62.061735585323241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IFERROR(__xludf.DUMMYFUNCTION("IMPORTRANGE(""https://docs.google.com/spreadsheets/d/11923uPwbBZFjjGgGUA6NLw09EwE0CqkOc4q9oUmW1yo/edit?usp=sharing"",""แพร่!M430"")"),21312)</f>
        <v>21312</v>
      </c>
      <c r="O535" s="168">
        <f t="shared" ca="1" si="118"/>
        <v>62.061735585323241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IFERROR(__xludf.DUMMYFUNCTION("IMPORTRANGE(""https://docs.google.com/spreadsheets/d/11923uPwbBZFjjGgGUA6NLw09EwE0CqkOc4q9oUmW1yo/edit?usp=sharing"",""แพร่!M432"")"),21312)</f>
        <v>21312</v>
      </c>
      <c r="O537" s="168">
        <f t="shared" ca="1" si="118"/>
        <v>62.061735585323241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IFERROR(__xludf.DUMMYFUNCTION("IMPORTRANGE(""https://docs.google.com/spreadsheets/d/11923uPwbBZFjjGgGUA6NLw09EwE0CqkOc4q9oUmW1yo/edit?usp=sharing"",""แพร่!M436"")"),3452)</f>
        <v>3452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IFERROR(__xludf.DUMMYFUNCTION("IMPORTRANGE(""https://docs.google.com/spreadsheets/d/11923uPwbBZFjjGgGUA6NLw09EwE0CqkOc4q9oUmW1yo/edit?usp=sharing"",""แพร่!J459"")"),1865)</f>
        <v>1865</v>
      </c>
      <c r="K564" s="371">
        <f ca="1">IF(I564&gt;0,J564*100/I564,0)</f>
        <v>155.41666666666666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IFERROR(__xludf.DUMMYFUNCTION("IMPORTRANGE(""https://docs.google.com/spreadsheets/d/11923uPwbBZFjjGgGUA6NLw09EwE0CqkOc4q9oUmW1yo/edit?usp=sharing"",""แพร่!M459"")"),35653)</f>
        <v>35653</v>
      </c>
      <c r="O564" s="372">
        <f t="shared" ref="O564:O568" ca="1" si="122">+IF(L564&gt;0,N564*100/L564,0)</f>
        <v>28.188646426312459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IFERROR(__xludf.DUMMYFUNCTION("IMPORTRANGE(""https://docs.google.com/spreadsheets/d/11923uPwbBZFjjGgGUA6NLw09EwE0CqkOc4q9oUmW1yo/edit?usp=sharing"",""แพร่!M461"")"),35653)</f>
        <v>35653</v>
      </c>
      <c r="O566" s="168">
        <f t="shared" ca="1" si="122"/>
        <v>28.188646426312459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IFERROR(__xludf.DUMMYFUNCTION("IMPORTRANGE(""https://docs.google.com/spreadsheets/d/11923uPwbBZFjjGgGUA6NLw09EwE0CqkOc4q9oUmW1yo/edit?usp=sharing"",""แพร่!M463"")"),35653)</f>
        <v>35653</v>
      </c>
      <c r="O568" s="168">
        <f t="shared" ca="1" si="122"/>
        <v>28.188646426312459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IFERROR(__xludf.DUMMYFUNCTION("IMPORTRANGE(""https://docs.google.com/spreadsheets/d/11923uPwbBZFjjGgGUA6NLw09EwE0CqkOc4q9oUmW1yo/edit?usp=sharing"",""แพร่!M466"")"),20899)</f>
        <v>20899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IFERROR(__xludf.DUMMYFUNCTION("IMPORTRANGE(""https://docs.google.com/spreadsheets/d/11923uPwbBZFjjGgGUA6NLw09EwE0CqkOc4q9oUmW1yo/edit?usp=sharing"",""แพร่!M467"")"),14754)</f>
        <v>14754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IFERROR(__xludf.DUMMYFUNCTION("IMPORTRANGE(""https://docs.google.com/spreadsheets/d/11923uPwbBZFjjGgGUA6NLw09EwE0CqkOc4q9oUmW1yo/edit?usp=sharing"",""แพร่!J468"")"),1865)</f>
        <v>1865</v>
      </c>
      <c r="K573" s="201">
        <f ca="1">IF(I573&gt;0,J573*100/I573,0)</f>
        <v>155.41666666666666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IFERROR(__xludf.DUMMYFUNCTION("IMPORTRANGE(""https://docs.google.com/spreadsheets/d/11923uPwbBZFjjGgGUA6NLw09EwE0CqkOc4q9oUmW1yo/edit?usp=sharing"",""แพร่!J471"")"),380)</f>
        <v>380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IFERROR(__xludf.DUMMYFUNCTION("IMPORTRANGE(""https://docs.google.com/spreadsheets/d/11923uPwbBZFjjGgGUA6NLw09EwE0CqkOc4q9oUmW1yo/edit?usp=sharing"",""แพร่!J472"")"),1485)</f>
        <v>1485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IFERROR(__xludf.DUMMYFUNCTION("IMPORTRANGE(""https://docs.google.com/spreadsheets/d/11923uPwbBZFjjGgGUA6NLw09EwE0CqkOc4q9oUmW1yo/edit?usp=sharing"",""แพร่!J475"")"),2)</f>
        <v>2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IFERROR(__xludf.DUMMYFUNCTION("IMPORTRANGE(""https://docs.google.com/spreadsheets/d/11923uPwbBZFjjGgGUA6NLw09EwE0CqkOc4q9oUmW1yo/edit?usp=sharing"",""แพร่!J487"")"),1.65)</f>
        <v>1.65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IFERROR(__xludf.DUMMYFUNCTION("IMPORTRANGE(""https://docs.google.com/spreadsheets/d/11923uPwbBZFjjGgGUA6NLw09EwE0CqkOc4q9oUmW1yo/edit?usp=sharing"",""แพร่!J490"")"),2)</f>
        <v>2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IFERROR(__xludf.DUMMYFUNCTION("IMPORTRANGE(""https://docs.google.com/spreadsheets/d/11923uPwbBZFjjGgGUA6NLw09EwE0CqkOc4q9oUmW1yo/edit?usp=sharing"",""แพร่!I491"")"),0)</f>
        <v>0</v>
      </c>
      <c r="J596" s="240">
        <f ca="1">IFERROR(__xludf.DUMMYFUNCTION("IMPORTRANGE(""https://docs.google.com/spreadsheets/d/11923uPwbBZFjjGgGUA6NLw09EwE0CqkOc4q9oUmW1yo/edit?usp=sharing"",""แพร่!J491"")"),1.65)</f>
        <v>1.65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7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IFERROR(__xludf.DUMMYFUNCTION("IMPORTRANGE(""https://docs.google.com/spreadsheets/d/11923uPwbBZFjjGgGUA6NLw09EwE0CqkOc4q9oUmW1yo/edit?usp=sharing"",""แพร่!L492"")"),4550)</f>
        <v>4550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9.4945054945054945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IFERROR(__xludf.DUMMYFUNCTION("IMPORTRANGE(""https://docs.google.com/spreadsheets/d/11923uPwbBZFjjGgGUA6NLw09EwE0CqkOc4q9oUmW1yo/edit?usp=sharing"",""แพร่!I523"")"),3480000)</f>
        <v>3480000</v>
      </c>
      <c r="J628" s="340">
        <f ca="1">IFERROR(__xludf.DUMMYFUNCTION("IMPORTRANGE(""https://docs.google.com/spreadsheets/d/11923uPwbBZFjjGgGUA6NLw09EwE0CqkOc4q9oUmW1yo/edit?usp=sharing"",""แพร่!J523"")"),1570000)</f>
        <v>1570000</v>
      </c>
      <c r="K628" s="341">
        <f t="shared" ref="K628:K635" ca="1" si="129">IF(I628&gt;0,J628*100/I628,0)</f>
        <v>45.114942528735632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IFERROR(__xludf.DUMMYFUNCTION("IMPORTRANGE(""https://docs.google.com/spreadsheets/d/11923uPwbBZFjjGgGUA6NLw09EwE0CqkOc4q9oUmW1yo/edit?usp=sharing"",""แพร่!I524"")"),160)</f>
        <v>160</v>
      </c>
      <c r="J629" s="340">
        <f ca="1">IFERROR(__xludf.DUMMYFUNCTION("IMPORTRANGE(""https://docs.google.com/spreadsheets/d/11923uPwbBZFjjGgGUA6NLw09EwE0CqkOc4q9oUmW1yo/edit?usp=sharing"",""แพร่!J524"")"),72)</f>
        <v>72</v>
      </c>
      <c r="K629" s="341">
        <f t="shared" ca="1" si="129"/>
        <v>45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IFERROR(__xludf.DUMMYFUNCTION("IMPORTRANGE(""https://docs.google.com/spreadsheets/d/11923uPwbBZFjjGgGUA6NLw09EwE0CqkOc4q9oUmW1yo/edit?usp=sharing"",""แพร่!I525"")"),664125.88)</f>
        <v>664125.88</v>
      </c>
      <c r="J630" s="340">
        <f ca="1">IFERROR(__xludf.DUMMYFUNCTION("IMPORTRANGE(""https://docs.google.com/spreadsheets/d/11923uPwbBZFjjGgGUA6NLw09EwE0CqkOc4q9oUmW1yo/edit?usp=sharing"",""แพร่!J525"")"),63784.06)</f>
        <v>63784.06</v>
      </c>
      <c r="K630" s="341">
        <f t="shared" ca="1" si="129"/>
        <v>9.6042123821465886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IFERROR(__xludf.DUMMYFUNCTION("IMPORTRANGE(""https://docs.google.com/spreadsheets/d/11923uPwbBZFjjGgGUA6NLw09EwE0CqkOc4q9oUmW1yo/edit?usp=sharing"",""แพร่!I526"")"),54)</f>
        <v>54</v>
      </c>
      <c r="J631" s="340">
        <f ca="1">IFERROR(__xludf.DUMMYFUNCTION("IMPORTRANGE(""https://docs.google.com/spreadsheets/d/11923uPwbBZFjjGgGUA6NLw09EwE0CqkOc4q9oUmW1yo/edit?usp=sharing"",""แพร่!J526"")"),45)</f>
        <v>45</v>
      </c>
      <c r="K631" s="341">
        <f t="shared" ca="1" si="129"/>
        <v>83.333333333333329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IFERROR(__xludf.DUMMYFUNCTION("IMPORTRANGE(""https://docs.google.com/spreadsheets/d/11923uPwbBZFjjGgGUA6NLw09EwE0CqkOc4q9oUmW1yo/edit?usp=sharing"",""แพร่!I527"")"),0)</f>
        <v>0</v>
      </c>
      <c r="J632" s="340">
        <f ca="1">IFERROR(__xludf.DUMMYFUNCTION("IMPORTRANGE(""https://docs.google.com/spreadsheets/d/11923uPwbBZFjjGgGUA6NLw09EwE0CqkOc4q9oUmW1yo/edit?usp=sharing"",""แพร่!J527"")"),0)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IFERROR(__xludf.DUMMYFUNCTION("IMPORTRANGE(""https://docs.google.com/spreadsheets/d/11923uPwbBZFjjGgGUA6NLw09EwE0CqkOc4q9oUmW1yo/edit?usp=sharing"",""แพร่!I528"")"),0)</f>
        <v>0</v>
      </c>
      <c r="J633" s="340">
        <f ca="1">IFERROR(__xludf.DUMMYFUNCTION("IMPORTRANGE(""https://docs.google.com/spreadsheets/d/11923uPwbBZFjjGgGUA6NLw09EwE0CqkOc4q9oUmW1yo/edit?usp=sharing"",""แพร่!J528"")"),0)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IFERROR(__xludf.DUMMYFUNCTION("IMPORTRANGE(""https://docs.google.com/spreadsheets/d/11923uPwbBZFjjGgGUA6NLw09EwE0CqkOc4q9oUmW1yo/edit?usp=sharing"",""แพร่!I529"")"),3500000)</f>
        <v>3500000</v>
      </c>
      <c r="J634" s="340">
        <f ca="1">IFERROR(__xludf.DUMMYFUNCTION("IMPORTRANGE(""https://docs.google.com/spreadsheets/d/11923uPwbBZFjjGgGUA6NLw09EwE0CqkOc4q9oUmW1yo/edit?usp=sharing"",""แพร่!J529"")"),1185000)</f>
        <v>1185000</v>
      </c>
      <c r="K634" s="341">
        <f t="shared" ca="1" si="129"/>
        <v>33.857142857142854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IFERROR(__xludf.DUMMYFUNCTION("IMPORTRANGE(""https://docs.google.com/spreadsheets/d/11923uPwbBZFjjGgGUA6NLw09EwE0CqkOc4q9oUmW1yo/edit?usp=sharing"",""แพร่!I530"")"),140)</f>
        <v>140</v>
      </c>
      <c r="J635" s="504">
        <f ca="1">IFERROR(__xludf.DUMMYFUNCTION("IMPORTRANGE(""https://docs.google.com/spreadsheets/d/11923uPwbBZFjjGgGUA6NLw09EwE0CqkOc4q9oUmW1yo/edit?usp=sharing"",""แพร่!J530"")"),55)</f>
        <v>55</v>
      </c>
      <c r="K635" s="486">
        <f t="shared" ca="1" si="129"/>
        <v>39.285714285714285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260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3165901.75</v>
      </c>
      <c r="M8" s="23">
        <f t="shared" ca="1" si="0"/>
        <v>1603700</v>
      </c>
      <c r="N8" s="23">
        <f t="shared" ca="1" si="0"/>
        <v>1794390.7200000002</v>
      </c>
      <c r="O8" s="22">
        <f t="shared" ref="O8:O16" ca="1" si="1">IF(L8&gt;0,N8*100/L8,0)</f>
        <v>56.678660984978457</v>
      </c>
      <c r="P8" s="22">
        <f t="shared" ref="P8:P16" ca="1" si="2">IF(M8&gt;0,N8*100/M8,0)</f>
        <v>111.89067281910583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3165901.75</v>
      </c>
      <c r="M10" s="30">
        <f t="shared" ca="1" si="4"/>
        <v>1603700</v>
      </c>
      <c r="N10" s="30">
        <f t="shared" ca="1" si="4"/>
        <v>1794390.7200000002</v>
      </c>
      <c r="O10" s="29">
        <f t="shared" ca="1" si="1"/>
        <v>56.678660984978457</v>
      </c>
      <c r="P10" s="29">
        <f t="shared" ca="1" si="2"/>
        <v>111.89067281910583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3118101.75</v>
      </c>
      <c r="M12" s="39">
        <f t="shared" ca="1" si="6"/>
        <v>1555900</v>
      </c>
      <c r="N12" s="39">
        <f t="shared" ca="1" si="6"/>
        <v>1746590.7200000002</v>
      </c>
      <c r="O12" s="39">
        <f t="shared" ca="1" si="1"/>
        <v>56.014551802230322</v>
      </c>
      <c r="P12" s="39">
        <f t="shared" ca="1" si="2"/>
        <v>112.25597531975065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1558000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1560101.75</v>
      </c>
      <c r="M14" s="39">
        <f t="shared" si="8"/>
        <v>0</v>
      </c>
      <c r="N14" s="39">
        <f t="shared" ca="1" si="8"/>
        <v>634314</v>
      </c>
      <c r="O14" s="39">
        <f t="shared" ca="1" si="1"/>
        <v>40.658501921429163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2083375</v>
      </c>
      <c r="M18" s="23">
        <f t="shared" ca="1" si="11"/>
        <v>1603700</v>
      </c>
      <c r="N18" s="23">
        <f t="shared" ca="1" si="11"/>
        <v>1160076.7200000002</v>
      </c>
      <c r="O18" s="22">
        <f t="shared" ref="O18:O20" ca="1" si="12">IF(L18&gt;0,N18*100/L18,0)</f>
        <v>55.682568908621832</v>
      </c>
      <c r="P18" s="22">
        <f t="shared" ref="P18:P26" ca="1" si="13">IF(M18&gt;0,N18*100/M18,0)</f>
        <v>72.337514497724015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2083375</v>
      </c>
      <c r="M20" s="30">
        <f t="shared" ca="1" si="15"/>
        <v>1603700</v>
      </c>
      <c r="N20" s="30">
        <f t="shared" ca="1" si="15"/>
        <v>1160076.7200000002</v>
      </c>
      <c r="O20" s="29">
        <f t="shared" ca="1" si="12"/>
        <v>55.682568908621832</v>
      </c>
      <c r="P20" s="29">
        <f t="shared" ca="1" si="13"/>
        <v>72.337514497724015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2035575</v>
      </c>
      <c r="M22" s="42">
        <f t="shared" ca="1" si="18"/>
        <v>1555900</v>
      </c>
      <c r="N22" s="39">
        <f t="shared" ca="1" si="18"/>
        <v>1112276.7200000002</v>
      </c>
      <c r="O22" s="39">
        <f t="shared" ca="1" si="17"/>
        <v>54.641893322525583</v>
      </c>
      <c r="P22" s="39">
        <f t="shared" ca="1" si="13"/>
        <v>71.487674015039531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1558000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477575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1082526.75</v>
      </c>
      <c r="M28" s="23">
        <f t="shared" si="23"/>
        <v>0</v>
      </c>
      <c r="N28" s="23">
        <f t="shared" ca="1" si="23"/>
        <v>634314</v>
      </c>
      <c r="O28" s="22">
        <f t="shared" ref="O28:O30" ca="1" si="24">IF(L28&gt;0,N28*100/L28,0)</f>
        <v>58.595688282067854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1082526.75</v>
      </c>
      <c r="M30" s="30">
        <f t="shared" si="27"/>
        <v>0</v>
      </c>
      <c r="N30" s="30">
        <f t="shared" ca="1" si="27"/>
        <v>634314</v>
      </c>
      <c r="O30" s="29">
        <f t="shared" ca="1" si="24"/>
        <v>58.595688282067854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1082526.75</v>
      </c>
      <c r="M32" s="39">
        <f t="shared" si="30"/>
        <v>0</v>
      </c>
      <c r="N32" s="39">
        <f t="shared" ca="1" si="30"/>
        <v>634314</v>
      </c>
      <c r="O32" s="39">
        <f t="shared" ca="1" si="29"/>
        <v>58.595688282067854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1082526.75</v>
      </c>
      <c r="M34" s="39">
        <f t="shared" si="32"/>
        <v>0</v>
      </c>
      <c r="N34" s="39">
        <f t="shared" ca="1" si="32"/>
        <v>634314</v>
      </c>
      <c r="O34" s="39">
        <f t="shared" ca="1" si="29"/>
        <v>58.595688282067854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2083375</v>
      </c>
      <c r="M37" s="55">
        <f t="shared" ca="1" si="33"/>
        <v>1603700</v>
      </c>
      <c r="N37" s="55">
        <f t="shared" ca="1" si="33"/>
        <v>1160076.7200000002</v>
      </c>
      <c r="O37" s="56">
        <f t="shared" ca="1" si="29"/>
        <v>55.682568908621832</v>
      </c>
      <c r="P37" s="56">
        <f t="shared" ca="1" si="25"/>
        <v>72.337514497724015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502300</v>
      </c>
      <c r="N41" s="79">
        <f t="shared" ca="1" si="34"/>
        <v>344174.32</v>
      </c>
      <c r="O41" s="78">
        <f t="shared" ref="O41:O43" ca="1" si="35">IF(L41&gt;0,N41*100/L41,0)</f>
        <v>51.392312975959385</v>
      </c>
      <c r="P41" s="78">
        <f t="shared" ref="P41:P43" ca="1" si="36">IF(M41&gt;0,N41*100/M41,0)</f>
        <v>68.519673501891305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502300</v>
      </c>
      <c r="N43" s="79">
        <f t="shared" ca="1" si="38"/>
        <v>344174.32</v>
      </c>
      <c r="O43" s="78">
        <f t="shared" ca="1" si="35"/>
        <v>51.392312975959385</v>
      </c>
      <c r="P43" s="78">
        <f t="shared" ca="1" si="36"/>
        <v>68.519673501891305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IFERROR(__xludf.DUMMYFUNCTION("IMPORTRANGE(""https://docs.google.com/spreadsheets/d/1Yj_ptqi66GCucihVvJfMjLAmec39IyEx_6qawtMGysU/edit?usp=sharing"",""สบก!Q31"")"),502300)</f>
        <v>502300</v>
      </c>
      <c r="N45" s="50">
        <f ca="1">IFERROR(__xludf.DUMMYFUNCTION("IMPORTRANGE(""https://docs.google.com/spreadsheets/d/1Yj_ptqi66GCucihVvJfMjLAmec39IyEx_6qawtMGysU/edit?usp=sharing"",""สบก!R31"")"),344174.32)</f>
        <v>344174.32</v>
      </c>
      <c r="O45" s="39">
        <f ca="1">IF(L45&gt;0,N45*100/L45,0)</f>
        <v>51.392312975959385</v>
      </c>
      <c r="P45" s="39">
        <f ca="1">IF(M45&gt;0,N45*100/M45,0)</f>
        <v>68.519673501891305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181500</v>
      </c>
      <c r="M53" s="121">
        <f t="shared" ca="1" si="39"/>
        <v>157750</v>
      </c>
      <c r="N53" s="121">
        <f t="shared" ca="1" si="39"/>
        <v>108836</v>
      </c>
      <c r="O53" s="120">
        <f t="shared" ref="O53:O55" ca="1" si="40">IF(L53&gt;0,N53*100/L53,0)</f>
        <v>59.96473829201102</v>
      </c>
      <c r="P53" s="120">
        <f t="shared" ref="P53:P55" ca="1" si="41">IF(M53&gt;0,N53*100/M53,0)</f>
        <v>68.992709984152143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181500</v>
      </c>
      <c r="M55" s="121">
        <f t="shared" ca="1" si="43"/>
        <v>157750</v>
      </c>
      <c r="N55" s="121">
        <f t="shared" ca="1" si="43"/>
        <v>108836</v>
      </c>
      <c r="O55" s="120">
        <f t="shared" ca="1" si="40"/>
        <v>59.96473829201102</v>
      </c>
      <c r="P55" s="120">
        <f t="shared" ca="1" si="41"/>
        <v>68.992709984152143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181500</v>
      </c>
      <c r="M57" s="50">
        <f ca="1">IFERROR(__xludf.DUMMYFUNCTION("IMPORTRANGE(""https://docs.google.com/spreadsheets/d/1Yj_ptqi66GCucihVvJfMjLAmec39IyEx_6qawtMGysU/edit?usp=sharing"",""สบก!Z31"")"),157750)</f>
        <v>157750</v>
      </c>
      <c r="N57" s="50">
        <f ca="1">IFERROR(__xludf.DUMMYFUNCTION("IMPORTRANGE(""https://docs.google.com/spreadsheets/d/1Yj_ptqi66GCucihVvJfMjLAmec39IyEx_6qawtMGysU/edit?usp=sharing"",""สบก!AA31"")"),108836)</f>
        <v>108836</v>
      </c>
      <c r="O57" s="39">
        <f ca="1">IF(L57&gt;0,N57*100/L57,0)</f>
        <v>59.96473829201102</v>
      </c>
      <c r="P57" s="39">
        <f ca="1">IF(M57&gt;0,N57*100/M57,0)</f>
        <v>68.992709984152143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IFERROR(__xludf.DUMMYFUNCTION("IMPORTRANGE(""https://docs.google.com/spreadsheets/d/1Yj_ptqi66GCucihVvJfMjLAmec39IyEx_6qawtMGysU/edit?usp=sharing"",""สบก!V31"")"),181500)</f>
        <v>181500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IFERROR(__xludf.DUMMYFUNCTION("IMPORTRANGE(""https://docs.google.com/spreadsheets/d/11923uPwbBZFjjGgGUA6NLw09EwE0CqkOc4q9oUmW1yo/edit?usp=sharing"",""แม่ฮ่องสอน!J50"")"),0)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62340</v>
      </c>
      <c r="O118" s="151">
        <f t="shared" ref="O118:O120" ca="1" si="59">IF(L118&gt;0,N118*100/L118,0)</f>
        <v>75.618631732168851</v>
      </c>
      <c r="P118" s="151">
        <f t="shared" ref="P118:P120" ca="1" si="60">IF(M118&gt;0,N118*100/M118,0)</f>
        <v>75.618631732168851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62340</v>
      </c>
      <c r="O120" s="156">
        <f t="shared" ca="1" si="59"/>
        <v>75.618631732168851</v>
      </c>
      <c r="P120" s="156">
        <f t="shared" ca="1" si="60"/>
        <v>75.618631732168851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IFERROR(__xludf.DUMMYFUNCTION("IMPORTRANGE(""https://docs.google.com/spreadsheets/d/1Yj_ptqi66GCucihVvJfMjLAmec39IyEx_6qawtMGysU/edit?usp=sharing"",""สบก!BB31"")"),62340)</f>
        <v>62340</v>
      </c>
      <c r="O122" s="168">
        <f ca="1">IF(L122&gt;0,N122*100/L122,0)</f>
        <v>75.618631732168851</v>
      </c>
      <c r="P122" s="168">
        <f ca="1">IF(M122&gt;0,N122*100/M122,0)</f>
        <v>75.618631732168851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261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IFERROR(__xludf.DUMMYFUNCTION("IMPORTRANGE(""https://docs.google.com/spreadsheets/d/11923uPwbBZFjjGgGUA6NLw09EwE0CqkOc4q9oUmW1yo/edit?usp=sharing"",""แม่ฮ่องสอน!J65"")"),0)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IFERROR(__xludf.DUMMYFUNCTION("IMPORTRANGE(""https://docs.google.com/spreadsheets/d/11923uPwbBZFjjGgGUA6NLw09EwE0CqkOc4q9oUmW1yo/edit?usp=sharing"",""แม่ฮ่องสอน!I68"")"),0)</f>
        <v>0</v>
      </c>
      <c r="J138" s="266">
        <f ca="1">IFERROR(__xludf.DUMMYFUNCTION("IMPORTRANGE(""https://docs.google.com/spreadsheets/d/11923uPwbBZFjjGgGUA6NLw09EwE0CqkOc4q9oUmW1yo/edit?usp=sharing"",""แม่ฮ่องสอน!J68"")"),0)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69500</v>
      </c>
      <c r="M140" s="152">
        <f t="shared" ca="1" si="64"/>
        <v>41625</v>
      </c>
      <c r="N140" s="152">
        <f t="shared" ca="1" si="64"/>
        <v>36940</v>
      </c>
      <c r="O140" s="151">
        <f t="shared" ref="O140:O142" ca="1" si="65">IF(L140&gt;0,N140*100/L140,0)</f>
        <v>53.151079136690647</v>
      </c>
      <c r="P140" s="151">
        <f t="shared" ref="P140:P142" ca="1" si="66">IF(M140&gt;0,N140*100/M140,0)</f>
        <v>88.74474474474475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69500</v>
      </c>
      <c r="M142" s="88">
        <f t="shared" ca="1" si="68"/>
        <v>41625</v>
      </c>
      <c r="N142" s="88">
        <f t="shared" ca="1" si="68"/>
        <v>36940</v>
      </c>
      <c r="O142" s="156">
        <f t="shared" ca="1" si="65"/>
        <v>53.151079136690647</v>
      </c>
      <c r="P142" s="156">
        <f t="shared" ca="1" si="66"/>
        <v>88.74474474474475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69500</v>
      </c>
      <c r="M144" s="167">
        <f ca="1">IFERROR(__xludf.DUMMYFUNCTION("IMPORTRANGE(""https://docs.google.com/spreadsheets/d/1Yj_ptqi66GCucihVvJfMjLAmec39IyEx_6qawtMGysU/edit?usp=sharing"",""สบก!BJ31"")"),41625)</f>
        <v>41625</v>
      </c>
      <c r="N144" s="168">
        <f ca="1">IFERROR(__xludf.DUMMYFUNCTION("IMPORTRANGE(""https://docs.google.com/spreadsheets/d/1Yj_ptqi66GCucihVvJfMjLAmec39IyEx_6qawtMGysU/edit?usp=sharing"",""สบก!BK31"")"),36940)</f>
        <v>36940</v>
      </c>
      <c r="O144" s="168">
        <f ca="1">IF(L144&gt;0,N144*100/L144,0)</f>
        <v>53.151079136690647</v>
      </c>
      <c r="P144" s="168">
        <f ca="1">IF(M144&gt;0,N144*100/M144,0)</f>
        <v>88.74474474474475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IFERROR(__xludf.DUMMYFUNCTION("IMPORTRANGE(""https://docs.google.com/spreadsheets/d/1Yj_ptqi66GCucihVvJfMjLAmec39IyEx_6qawtMGysU/edit?usp=sharing"",""สบก!BG31"")"),69500)</f>
        <v>69500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IFERROR(__xludf.DUMMYFUNCTION("IMPORTRANGE(""https://docs.google.com/spreadsheets/d/11923uPwbBZFjjGgGUA6NLw09EwE0CqkOc4q9oUmW1yo/edit?usp=sharing"",""แม่ฮ่องสอน!I74"")"),4)</f>
        <v>4</v>
      </c>
      <c r="J149" s="274">
        <f ca="1">IFERROR(__xludf.DUMMYFUNCTION("IMPORTRANGE(""https://docs.google.com/spreadsheets/d/11923uPwbBZFjjGgGUA6NLw09EwE0CqkOc4q9oUmW1yo/edit?usp=sharing"",""แม่ฮ่องสอน!J74"")"),2)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IFERROR(__xludf.DUMMYFUNCTION("IMPORTRANGE(""https://docs.google.com/spreadsheets/d/11923uPwbBZFjjGgGUA6NLw09EwE0CqkOc4q9oUmW1yo/edit?usp=sharing"",""แม่ฮ่องสอน!J84"")"),50)</f>
        <v>50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IFERROR(__xludf.DUMMYFUNCTION("IMPORTRANGE(""https://docs.google.com/spreadsheets/d/11923uPwbBZFjjGgGUA6NLw09EwE0CqkOc4q9oUmW1yo/edit?usp=sharing"",""แม่ฮ่องสอน!J85"")"),50)</f>
        <v>50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IFERROR(__xludf.DUMMYFUNCTION("IMPORTRANGE(""https://docs.google.com/spreadsheets/d/11923uPwbBZFjjGgGUA6NLw09EwE0CqkOc4q9oUmW1yo/edit?usp=sharing"",""แม่ฮ่องสอน!I89"")"),2)</f>
        <v>2</v>
      </c>
      <c r="J164" s="283">
        <f ca="1">IFERROR(__xludf.DUMMYFUNCTION("IMPORTRANGE(""https://docs.google.com/spreadsheets/d/11923uPwbBZFjjGgGUA6NLw09EwE0CqkOc4q9oUmW1yo/edit?usp=sharing"",""แม่ฮ่องสอน!J89"")"),2)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IFERROR(__xludf.DUMMYFUNCTION("IMPORTRANGE(""https://docs.google.com/spreadsheets/d/11923uPwbBZFjjGgGUA6NLw09EwE0CqkOc4q9oUmW1yo/edit?usp=sharing"",""แม่ฮ่องสอน!I101"")"),0)</f>
        <v>0</v>
      </c>
      <c r="J176" s="283">
        <f ca="1">IFERROR(__xludf.DUMMYFUNCTION("IMPORTRANGE(""https://docs.google.com/spreadsheets/d/11923uPwbBZFjjGgGUA6NLw09EwE0CqkOc4q9oUmW1yo/edit?usp=sharing"",""แม่ฮ่องสอน!J101"")"),0)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IFERROR(__xludf.DUMMYFUNCTION("IMPORTRANGE(""https://docs.google.com/spreadsheets/d/11923uPwbBZFjjGgGUA6NLw09EwE0CqkOc4q9oUmW1yo/edit?usp=sharing"",""แม่ฮ่องสอน!J113"")"),0)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3">
        <f ca="1">IFERROR(__xludf.DUMMYFUNCTION("IMPORTRANGE(""https://docs.google.com/spreadsheets/d/11923uPwbBZFjjGgGUA6NLw09EwE0CqkOc4q9oUmW1yo/edit?usp=sharing"",""แม่ฮ่องสอน!J114"")"),0)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IFERROR(__xludf.DUMMYFUNCTION("IMPORTRANGE(""https://docs.google.com/spreadsheets/d/11923uPwbBZFjjGgGUA6NLw09EwE0CqkOc4q9oUmW1yo/edit?usp=sharing"",""แม่ฮ่องสอน!J128"")"),0)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IFERROR(__xludf.DUMMYFUNCTION("IMPORTRANGE(""https://docs.google.com/spreadsheets/d/11923uPwbBZFjjGgGUA6NLw09EwE0CqkOc4q9oUmW1yo/edit?usp=sharing"",""แม่ฮ่องสอน!I129"")"),0)</f>
        <v>0</v>
      </c>
      <c r="J204" s="283">
        <f ca="1">IFERROR(__xludf.DUMMYFUNCTION("IMPORTRANGE(""https://docs.google.com/spreadsheets/d/11923uPwbBZFjjGgGUA6NLw09EwE0CqkOc4q9oUmW1yo/edit?usp=sharing"",""แม่ฮ่องสอน!J129"")"),0)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IFERROR(__xludf.DUMMYFUNCTION("IMPORTRANGE(""https://docs.google.com/spreadsheets/d/11923uPwbBZFjjGgGUA6NLw09EwE0CqkOc4q9oUmW1yo/edit?usp=sharing"",""แม่ฮ่องสอน!J143"")"),0)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IFERROR(__xludf.DUMMYFUNCTION("IMPORTRANGE(""https://docs.google.com/spreadsheets/d/11923uPwbBZFjjGgGUA6NLw09EwE0CqkOc4q9oUmW1yo/edit?usp=sharing"",""แม่ฮ่องสอน!I144"")"),13)</f>
        <v>13</v>
      </c>
      <c r="J219" s="266">
        <f ca="1">IFERROR(__xludf.DUMMYFUNCTION("IMPORTRANGE(""https://docs.google.com/spreadsheets/d/11923uPwbBZFjjGgGUA6NLw09EwE0CqkOc4q9oUmW1yo/edit?usp=sharing"",""แม่ฮ่องสอน!J144"")"),13)</f>
        <v>13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IFERROR(__xludf.DUMMYFUNCTION("IMPORTRANGE(""https://docs.google.com/spreadsheets/d/11923uPwbBZFjjGgGUA6NLw09EwE0CqkOc4q9oUmW1yo/edit?usp=sharing"",""แม่ฮ่องสอน!I149"")"),13)</f>
        <v>13</v>
      </c>
      <c r="J229" s="266">
        <f ca="1">IFERROR(__xludf.DUMMYFUNCTION("IMPORTRANGE(""https://docs.google.com/spreadsheets/d/11923uPwbBZFjjGgGUA6NLw09EwE0CqkOc4q9oUmW1yo/edit?usp=sharing"",""แม่ฮ่องสอน!J149"")"),13)</f>
        <v>13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IFERROR(__xludf.DUMMYFUNCTION("IMPORTRANGE(""https://docs.google.com/spreadsheets/d/11923uPwbBZFjjGgGUA6NLw09EwE0CqkOc4q9oUmW1yo/edit?usp=sharing"",""แม่ฮ่องสอน!I158"")"),0)</f>
        <v>0</v>
      </c>
      <c r="J238" s="266">
        <f ca="1">IFERROR(__xludf.DUMMYFUNCTION("IMPORTRANGE(""https://docs.google.com/spreadsheets/d/11923uPwbBZFjjGgGUA6NLw09EwE0CqkOc4q9oUmW1yo/edit?usp=sharing"",""แม่ฮ่องสอน!J158"")"),0)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IFERROR(__xludf.DUMMYFUNCTION("IMPORTRANGE(""https://docs.google.com/spreadsheets/d/11923uPwbBZFjjGgGUA6NLw09EwE0CqkOc4q9oUmW1yo/edit?usp=sharing"",""แม่ฮ่องสอน!J166"")"),0)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IFERROR(__xludf.DUMMYFUNCTION("IMPORTRANGE(""https://docs.google.com/spreadsheets/d/11923uPwbBZFjjGgGUA6NLw09EwE0CqkOc4q9oUmW1yo/edit?usp=sharing"",""แม่ฮ่องสอน!I169"")"),0)</f>
        <v>0</v>
      </c>
      <c r="J249" s="315">
        <f ca="1">IFERROR(__xludf.DUMMYFUNCTION("IMPORTRANGE(""https://docs.google.com/spreadsheets/d/11923uPwbBZFjjGgGUA6NLw09EwE0CqkOc4q9oUmW1yo/edit?usp=sharing"",""แม่ฮ่องสอน!J169"")"),0)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IFERROR(__xludf.DUMMYFUNCTION("IMPORTRANGE(""https://docs.google.com/spreadsheets/d/11923uPwbBZFjjGgGUA6NLw09EwE0CqkOc4q9oUmW1yo/edit?usp=sharing"",""แม่ฮ่องสอน!J184"")"),0)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IFERROR(__xludf.DUMMYFUNCTION("IMPORTRANGE(""https://docs.google.com/spreadsheets/d/11923uPwbBZFjjGgGUA6NLw09EwE0CqkOc4q9oUmW1yo/edit?usp=sharing"",""แม่ฮ่องสอน!I185"")"),15)</f>
        <v>15</v>
      </c>
      <c r="J270" s="315">
        <f ca="1">IFERROR(__xludf.DUMMYFUNCTION("IMPORTRANGE(""https://docs.google.com/spreadsheets/d/11923uPwbBZFjjGgGUA6NLw09EwE0CqkOc4q9oUmW1yo/edit?usp=sharing"",""แม่ฮ่องสอน!J185"")"),15)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91743</v>
      </c>
      <c r="O271" s="151">
        <f t="shared" ref="O271:O273" ca="1" si="84">IF(L271&gt;0,N271*100/L271,0)</f>
        <v>49.008012820512818</v>
      </c>
      <c r="P271" s="151">
        <f t="shared" ref="P271:P273" ca="1" si="85">IF(M271&gt;0,N271*100/M271,0)</f>
        <v>69.899428571428572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131250</v>
      </c>
      <c r="N273" s="88">
        <f t="shared" ca="1" si="87"/>
        <v>91743</v>
      </c>
      <c r="O273" s="156">
        <f t="shared" ca="1" si="84"/>
        <v>49.008012820512818</v>
      </c>
      <c r="P273" s="156">
        <f t="shared" ca="1" si="85"/>
        <v>69.899428571428572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IFERROR(__xludf.DUMMYFUNCTION("IMPORTRANGE(""https://docs.google.com/spreadsheets/d/1Yj_ptqi66GCucihVvJfMjLAmec39IyEx_6qawtMGysU/edit?usp=sharing"",""สบก!CK31"")"),131250)</f>
        <v>131250</v>
      </c>
      <c r="N275" s="168">
        <f ca="1">IFERROR(__xludf.DUMMYFUNCTION("IMPORTRANGE(""https://docs.google.com/spreadsheets/d/1Yj_ptqi66GCucihVvJfMjLAmec39IyEx_6qawtMGysU/edit?usp=sharing"",""สบก!CL31"")"),91743)</f>
        <v>91743</v>
      </c>
      <c r="O275" s="168">
        <f ca="1">IF(L275&gt;0,N275*100/L275,0)</f>
        <v>49.008012820512818</v>
      </c>
      <c r="P275" s="168">
        <f ca="1">IF(M275&gt;0,N275*100/M275,0)</f>
        <v>69.899428571428572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IFERROR(__xludf.DUMMYFUNCTION("IMPORTRANGE(""https://docs.google.com/spreadsheets/d/11923uPwbBZFjjGgGUA6NLw09EwE0CqkOc4q9oUmW1yo/edit?usp=sharing"",""แม่ฮ่องสอน!I199"")"),0)</f>
        <v>0</v>
      </c>
      <c r="J289" s="315">
        <f ca="1">IFERROR(__xludf.DUMMYFUNCTION("IMPORTRANGE(""https://docs.google.com/spreadsheets/d/11923uPwbBZFjjGgGUA6NLw09EwE0CqkOc4q9oUmW1yo/edit?usp=sharing"",""แม่ฮ่องสอน!J199"")"),0)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IFERROR(__xludf.DUMMYFUNCTION("IMPORTRANGE(""https://docs.google.com/spreadsheets/d/11923uPwbBZFjjGgGUA6NLw09EwE0CqkOc4q9oUmW1yo/edit?usp=sharing"",""แม่ฮ่องสอน!J213"")"),0)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IFERROR(__xludf.DUMMYFUNCTION("IMPORTRANGE(""https://docs.google.com/spreadsheets/d/11923uPwbBZFjjGgGUA6NLw09EwE0CqkOc4q9oUmW1yo/edit?usp=sharing"",""แม่ฮ่องสอน!I214"")"),0)</f>
        <v>0</v>
      </c>
      <c r="J309" s="332">
        <f ca="1">IFERROR(__xludf.DUMMYFUNCTION("IMPORTRANGE(""https://docs.google.com/spreadsheets/d/11923uPwbBZFjjGgGUA6NLw09EwE0CqkOc4q9oUmW1yo/edit?usp=sharing"",""แม่ฮ่องสอน!J214"")"),0)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IFERROR(__xludf.DUMMYFUNCTION("IMPORTRANGE(""https://docs.google.com/spreadsheets/d/11923uPwbBZFjjGgGUA6NLw09EwE0CqkOc4q9oUmW1yo/edit?usp=sharing"",""แม่ฮ่องสอน!J226"")"),0)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IFERROR(__xludf.DUMMYFUNCTION("IMPORTRANGE(""https://docs.google.com/spreadsheets/d/11923uPwbBZFjjGgGUA6NLw09EwE0CqkOc4q9oUmW1yo/edit?usp=sharing"",""แม่ฮ่องสอน!I228"")"),70)</f>
        <v>70</v>
      </c>
      <c r="J328" s="338">
        <f ca="1">IFERROR(__xludf.DUMMYFUNCTION("IMPORTRANGE(""https://docs.google.com/spreadsheets/d/11923uPwbBZFjjGgGUA6NLw09EwE0CqkOc4q9oUmW1yo/edit?usp=sharing"",""แม่ฮ่องสอน!J228"")"),71)</f>
        <v>71</v>
      </c>
      <c r="K328" s="316">
        <f ca="1">IF(I328&gt;0,J328*100/I328,0)</f>
        <v>101.42857142857143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873740</v>
      </c>
      <c r="M329" s="152">
        <f t="shared" ca="1" si="98"/>
        <v>669040</v>
      </c>
      <c r="N329" s="152">
        <f t="shared" ca="1" si="98"/>
        <v>496748.4</v>
      </c>
      <c r="O329" s="151">
        <f t="shared" ref="O329:O331" ca="1" si="99">IF(L329&gt;0,N329*100/L329,0)</f>
        <v>56.853114198731888</v>
      </c>
      <c r="P329" s="151">
        <f t="shared" ref="P329:P331" ca="1" si="100">IF(M329&gt;0,N329*100/M329,0)</f>
        <v>74.247937343058709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873740</v>
      </c>
      <c r="M331" s="88">
        <f t="shared" ca="1" si="102"/>
        <v>669040</v>
      </c>
      <c r="N331" s="88">
        <f t="shared" ca="1" si="102"/>
        <v>496748.4</v>
      </c>
      <c r="O331" s="156">
        <f t="shared" ca="1" si="99"/>
        <v>56.853114198731888</v>
      </c>
      <c r="P331" s="156">
        <f t="shared" ca="1" si="100"/>
        <v>74.247937343058709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825940</v>
      </c>
      <c r="M333" s="167">
        <f ca="1">IFERROR(__xludf.DUMMYFUNCTION("IMPORTRANGE(""https://docs.google.com/spreadsheets/d/1Yj_ptqi66GCucihVvJfMjLAmec39IyEx_6qawtMGysU/edit?usp=sharing"",""สบก!DL31"")"),621240)</f>
        <v>621240</v>
      </c>
      <c r="N333" s="168">
        <f ca="1">IFERROR(__xludf.DUMMYFUNCTION("IMPORTRANGE(""https://docs.google.com/spreadsheets/d/1Yj_ptqi66GCucihVvJfMjLAmec39IyEx_6qawtMGysU/edit?usp=sharing"",""สบก!DM31"")"),448948.4)</f>
        <v>448948.4</v>
      </c>
      <c r="O333" s="168">
        <f ca="1">IF(L333&gt;0,N333*100/L333,0)</f>
        <v>54.356054919243526</v>
      </c>
      <c r="P333" s="168">
        <f ca="1">IF(M333&gt;0,N333*100/M333,0)</f>
        <v>72.266499259545427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IFERROR(__xludf.DUMMYFUNCTION("IMPORTRANGE(""https://docs.google.com/spreadsheets/d/1Yj_ptqi66GCucihVvJfMjLAmec39IyEx_6qawtMGysU/edit?usp=sharing"",""สบก!DI31"")"),251140)</f>
        <v>251140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IFERROR(__xludf.DUMMYFUNCTION("IMPORTRANGE(""https://docs.google.com/spreadsheets/d/11923uPwbBZFjjGgGUA6NLw09EwE0CqkOc4q9oUmW1yo/edit?usp=sharing"",""แม่ฮ่องสอน!J234"")"),32)</f>
        <v>32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IFERROR(__xludf.DUMMYFUNCTION("IMPORTRANGE(""https://docs.google.com/spreadsheets/d/11923uPwbBZFjjGgGUA6NLw09EwE0CqkOc4q9oUmW1yo/edit?usp=sharing"",""แม่ฮ่องสอน!I235"")"),210)</f>
        <v>210</v>
      </c>
      <c r="J340" s="187">
        <f ca="1">IFERROR(__xludf.DUMMYFUNCTION("IMPORTRANGE(""https://docs.google.com/spreadsheets/d/11923uPwbBZFjjGgGUA6NLw09EwE0CqkOc4q9oUmW1yo/edit?usp=sharing"",""แม่ฮ่องสอน!J235"")"),61.04)</f>
        <v>61.04</v>
      </c>
      <c r="K340" s="341">
        <f t="shared" ca="1" si="103"/>
        <v>29.066666666666666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IFERROR(__xludf.DUMMYFUNCTION("IMPORTRANGE(""https://docs.google.com/spreadsheets/d/11923uPwbBZFjjGgGUA6NLw09EwE0CqkOc4q9oUmW1yo/edit?usp=sharing"",""แม่ฮ่องสอน!I236"")"),70)</f>
        <v>70</v>
      </c>
      <c r="J341" s="187">
        <f ca="1">IFERROR(__xludf.DUMMYFUNCTION("IMPORTRANGE(""https://docs.google.com/spreadsheets/d/11923uPwbBZFjjGgGUA6NLw09EwE0CqkOc4q9oUmW1yo/edit?usp=sharing"",""แม่ฮ่องสอน!J236"")"),76)</f>
        <v>76</v>
      </c>
      <c r="K341" s="341">
        <f t="shared" ca="1" si="103"/>
        <v>108.57142857142857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IFERROR(__xludf.DUMMYFUNCTION("IMPORTRANGE(""https://docs.google.com/spreadsheets/d/11923uPwbBZFjjGgGUA6NLw09EwE0CqkOc4q9oUmW1yo/edit?usp=sharing"",""แม่ฮ่องสอน!J237"")"),238.41)</f>
        <v>238.41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IFERROR(__xludf.DUMMYFUNCTION("IMPORTRANGE(""https://docs.google.com/spreadsheets/d/11923uPwbBZFjjGgGUA6NLw09EwE0CqkOc4q9oUmW1yo/edit?usp=sharing"",""แม่ฮ่องสอน!I238"")"),70)</f>
        <v>70</v>
      </c>
      <c r="J343" s="187">
        <f ca="1">IFERROR(__xludf.DUMMYFUNCTION("IMPORTRANGE(""https://docs.google.com/spreadsheets/d/11923uPwbBZFjjGgGUA6NLw09EwE0CqkOc4q9oUmW1yo/edit?usp=sharing"",""แม่ฮ่องสอน!J238"")"),1)</f>
        <v>1</v>
      </c>
      <c r="K343" s="341">
        <f t="shared" ca="1" si="103"/>
        <v>1.4285714285714286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IFERROR(__xludf.DUMMYFUNCTION("IMPORTRANGE(""https://docs.google.com/spreadsheets/d/11923uPwbBZFjjGgGUA6NLw09EwE0CqkOc4q9oUmW1yo/edit?usp=sharing"",""แม่ฮ่องสอน!J239"")"),28.14)</f>
        <v>28.14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IFERROR(__xludf.DUMMYFUNCTION("IMPORTRANGE(""https://docs.google.com/spreadsheets/d/11923uPwbBZFjjGgGUA6NLw09EwE0CqkOc4q9oUmW1yo/edit?usp=sharing"",""แม่ฮ่องสอน!I240"")"),70)</f>
        <v>70</v>
      </c>
      <c r="J345" s="187">
        <f ca="1">IFERROR(__xludf.DUMMYFUNCTION("IMPORTRANGE(""https://docs.google.com/spreadsheets/d/11923uPwbBZFjjGgGUA6NLw09EwE0CqkOc4q9oUmW1yo/edit?usp=sharing"",""แม่ฮ่องสอน!J240"")"),71)</f>
        <v>71</v>
      </c>
      <c r="K345" s="341">
        <f t="shared" ca="1" si="103"/>
        <v>101.42857142857143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IFERROR(__xludf.DUMMYFUNCTION("IMPORTRANGE(""https://docs.google.com/spreadsheets/d/11923uPwbBZFjjGgGUA6NLw09EwE0CqkOc4q9oUmW1yo/edit?usp=sharing"",""แม่ฮ่องสอน!J241"")"),234.67)</f>
        <v>234.67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IFERROR(__xludf.DUMMYFUNCTION("IMPORTRANGE(""https://docs.google.com/spreadsheets/d/11923uPwbBZFjjGgGUA6NLw09EwE0CqkOc4q9oUmW1yo/edit?usp=sharing"",""แม่ฮ่องสอน!L242"")"),1082526.75)</f>
        <v>1082526.75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IFERROR(__xludf.DUMMYFUNCTION("IMPORTRANGE(""https://docs.google.com/spreadsheets/d/11923uPwbBZFjjGgGUA6NLw09EwE0CqkOc4q9oUmW1yo/edit?usp=sharing"",""แม่ฮ่องสอน!M242"")"),634314)</f>
        <v>634314</v>
      </c>
      <c r="O347" s="357">
        <f ca="1">+IF(L347&gt;0,N347*100/L347,0)</f>
        <v>58.595688282067854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IFERROR(__xludf.DUMMYFUNCTION("IMPORTRANGE(""https://docs.google.com/spreadsheets/d/11923uPwbBZFjjGgGUA6NLw09EwE0CqkOc4q9oUmW1yo/edit?usp=sharing"",""แม่ฮ่องสอน!M244"")"),249436)</f>
        <v>249436</v>
      </c>
      <c r="O349" s="372">
        <f ca="1">+IF(L349&gt;0,N349*100/L349,0)</f>
        <v>70.545845353243962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IFERROR(__xludf.DUMMYFUNCTION("IMPORTRANGE(""https://docs.google.com/spreadsheets/d/11923uPwbBZFjjGgGUA6NLw09EwE0CqkOc4q9oUmW1yo/edit?usp=sharing"",""แม่ฮ่องสอน!M247"")"),249436)</f>
        <v>249436</v>
      </c>
      <c r="O352" s="165">
        <f t="shared" ca="1" si="105"/>
        <v>70.545845353243962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IFERROR(__xludf.DUMMYFUNCTION("IMPORTRANGE(""https://docs.google.com/spreadsheets/d/11923uPwbBZFjjGgGUA6NLw09EwE0CqkOc4q9oUmW1yo/edit?usp=sharing"",""แม่ฮ่องสอน!M249"")"),249436)</f>
        <v>249436</v>
      </c>
      <c r="O354" s="168">
        <f t="shared" ca="1" si="105"/>
        <v>70.545845353243962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IFERROR(__xludf.DUMMYFUNCTION("IMPORTRANGE(""https://docs.google.com/spreadsheets/d/11923uPwbBZFjjGgGUA6NLw09EwE0CqkOc4q9oUmW1yo/edit?usp=sharing"",""แม่ฮ่องสอน!M252"")"),52516)</f>
        <v>52516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IFERROR(__xludf.DUMMYFUNCTION("IMPORTRANGE(""https://docs.google.com/spreadsheets/d/11923uPwbBZFjjGgGUA6NLw09EwE0CqkOc4q9oUmW1yo/edit?usp=sharing"",""แม่ฮ่องสอน!M253"")"),30120)</f>
        <v>30120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IFERROR(__xludf.DUMMYFUNCTION("IMPORTRANGE(""https://docs.google.com/spreadsheets/d/11923uPwbBZFjjGgGUA6NLw09EwE0CqkOc4q9oUmW1yo/edit?usp=sharing"",""แม่ฮ่องสอน!M275"")"),52870)</f>
        <v>52870</v>
      </c>
      <c r="O380" s="372">
        <f ca="1">+IF(L380&gt;0,N380*100/L380,0)</f>
        <v>41.414695284349051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IFERROR(__xludf.DUMMYFUNCTION("IMPORTRANGE(""https://docs.google.com/spreadsheets/d/11923uPwbBZFjjGgGUA6NLw09EwE0CqkOc4q9oUmW1yo/edit?usp=sharing"",""แม่ฮ่องสอน!M278"")"),52870)</f>
        <v>52870</v>
      </c>
      <c r="O383" s="165">
        <f t="shared" ca="1" si="109"/>
        <v>41.414695284349051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IFERROR(__xludf.DUMMYFUNCTION("IMPORTRANGE(""https://docs.google.com/spreadsheets/d/11923uPwbBZFjjGgGUA6NLw09EwE0CqkOc4q9oUmW1yo/edit?usp=sharing"",""แม่ฮ่องสอน!M280"")"),52870)</f>
        <v>52870</v>
      </c>
      <c r="O385" s="168">
        <f t="shared" ca="1" si="109"/>
        <v>41.414695284349051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IFERROR(__xludf.DUMMYFUNCTION("IMPORTRANGE(""https://docs.google.com/spreadsheets/d/11923uPwbBZFjjGgGUA6NLw09EwE0CqkOc4q9oUmW1yo/edit?usp=sharing"",""แม่ฮ่องสอน!M284"")"),11470)</f>
        <v>11470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IFERROR(__xludf.DUMMYFUNCTION("IMPORTRANGE(""https://docs.google.com/spreadsheets/d/11923uPwbBZFjjGgGUA6NLw09EwE0CqkOc4q9oUmW1yo/edit?usp=sharing"",""แม่ฮ่องสอน!M296"")"),90230)</f>
        <v>90230</v>
      </c>
      <c r="O401" s="372">
        <f ca="1">+IF(L401&gt;0,N401*100/L401,0)</f>
        <v>86.270197915670721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IFERROR(__xludf.DUMMYFUNCTION("IMPORTRANGE(""https://docs.google.com/spreadsheets/d/11923uPwbBZFjjGgGUA6NLw09EwE0CqkOc4q9oUmW1yo/edit?usp=sharing"",""แม่ฮ่องสอน!M299"")"),90230)</f>
        <v>90230</v>
      </c>
      <c r="O404" s="168">
        <f t="shared" ca="1" si="112"/>
        <v>86.270197915670721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IFERROR(__xludf.DUMMYFUNCTION("IMPORTRANGE(""https://docs.google.com/spreadsheets/d/11923uPwbBZFjjGgGUA6NLw09EwE0CqkOc4q9oUmW1yo/edit?usp=sharing"",""แม่ฮ่องสอน!M301"")"),90230)</f>
        <v>90230</v>
      </c>
      <c r="O406" s="168">
        <f t="shared" ca="1" si="112"/>
        <v>86.270197915670721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IFERROR(__xludf.DUMMYFUNCTION("IMPORTRANGE(""https://docs.google.com/spreadsheets/d/11923uPwbBZFjjGgGUA6NLw09EwE0CqkOc4q9oUmW1yo/edit?usp=sharing"",""แม่ฮ่องสอน!M305"")"),8460)</f>
        <v>8460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7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IFERROR(__xludf.DUMMYFUNCTION("IMPORTRANGE(""https://docs.google.com/spreadsheets/d/11923uPwbBZFjjGgGUA6NLw09EwE0CqkOc4q9oUmW1yo/edit?usp=sharing"",""แม่ฮ่องสอน!M330"")"),70139)</f>
        <v>70139</v>
      </c>
      <c r="O435" s="411">
        <f t="shared" ref="O435:O439" ca="1" si="114">+IF(L435&gt;0,N435*100/L435,0)</f>
        <v>70.138999999999996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IFERROR(__xludf.DUMMYFUNCTION("IMPORTRANGE(""https://docs.google.com/spreadsheets/d/11923uPwbBZFjjGgGUA6NLw09EwE0CqkOc4q9oUmW1yo/edit?usp=sharing"",""แม่ฮ่องสอน!M332"")"),70139)</f>
        <v>70139</v>
      </c>
      <c r="O437" s="168">
        <f t="shared" ca="1" si="114"/>
        <v>70.138999999999996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IFERROR(__xludf.DUMMYFUNCTION("IMPORTRANGE(""https://docs.google.com/spreadsheets/d/11923uPwbBZFjjGgGUA6NLw09EwE0CqkOc4q9oUmW1yo/edit?usp=sharing"",""แม่ฮ่องสอน!M334"")"),70139)</f>
        <v>70139</v>
      </c>
      <c r="O439" s="168">
        <f t="shared" ca="1" si="114"/>
        <v>70.138999999999996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IFERROR(__xludf.DUMMYFUNCTION("IMPORTRANGE(""https://docs.google.com/spreadsheets/d/11923uPwbBZFjjGgGUA6NLw09EwE0CqkOc4q9oUmW1yo/edit?usp=sharing"",""แม่ฮ่องสอน!M338"")"),25939)</f>
        <v>25939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IFERROR(__xludf.DUMMYFUNCTION("IMPORTRANGE(""https://docs.google.com/spreadsheets/d/11923uPwbBZFjjGgGUA6NLw09EwE0CqkOc4q9oUmW1yo/edit?usp=sharing"",""แม่ฮ่องสอน!L350"")"),96392.75)</f>
        <v>96392.75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IFERROR(__xludf.DUMMYFUNCTION("IMPORTRANGE(""https://docs.google.com/spreadsheets/d/11923uPwbBZFjjGgGUA6NLw09EwE0CqkOc4q9oUmW1yo/edit?usp=sharing"",""แม่ฮ่องสอน!M350"")"),40595)</f>
        <v>40595</v>
      </c>
      <c r="O455" s="372">
        <f t="shared" ref="O455:O459" ca="1" si="116">+IF(L455&gt;0,N455*100/L455,0)</f>
        <v>42.114163150236919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IFERROR(__xludf.DUMMYFUNCTION("IMPORTRANGE(""https://docs.google.com/spreadsheets/d/11923uPwbBZFjjGgGUA6NLw09EwE0CqkOc4q9oUmW1yo/edit?usp=sharing"",""แม่ฮ่องสอน!L352"")"),96392.75)</f>
        <v>96392.75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IFERROR(__xludf.DUMMYFUNCTION("IMPORTRANGE(""https://docs.google.com/spreadsheets/d/11923uPwbBZFjjGgGUA6NLw09EwE0CqkOc4q9oUmW1yo/edit?usp=sharing"",""แม่ฮ่องสอน!M352"")"),40595)</f>
        <v>40595</v>
      </c>
      <c r="O457" s="168">
        <f t="shared" ca="1" si="116"/>
        <v>42.114163150236919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IFERROR(__xludf.DUMMYFUNCTION("IMPORTRANGE(""https://docs.google.com/spreadsheets/d/11923uPwbBZFjjGgGUA6NLw09EwE0CqkOc4q9oUmW1yo/edit?usp=sharing"",""แม่ฮ่องสอน!L354"")"),96392.75)</f>
        <v>96392.75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IFERROR(__xludf.DUMMYFUNCTION("IMPORTRANGE(""https://docs.google.com/spreadsheets/d/11923uPwbBZFjjGgGUA6NLw09EwE0CqkOc4q9oUmW1yo/edit?usp=sharing"",""แม่ฮ่องสอน!M354"")"),40595)</f>
        <v>40595</v>
      </c>
      <c r="O459" s="168">
        <f t="shared" ca="1" si="116"/>
        <v>42.114163150236919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IFERROR(__xludf.DUMMYFUNCTION("IMPORTRANGE(""https://docs.google.com/spreadsheets/d/11923uPwbBZFjjGgGUA6NLw09EwE0CqkOc4q9oUmW1yo/edit?usp=sharing"",""แม่ฮ่องสอน!M358"")"),40595)</f>
        <v>40595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IFERROR(__xludf.DUMMYFUNCTION("IMPORTRANGE(""https://docs.google.com/spreadsheets/d/11923uPwbBZFjjGgGUA6NLw09EwE0CqkOc4q9oUmW1yo/edit?usp=sharing"",""แม่ฮ่องสอน!I359"")"),4665)</f>
        <v>4665</v>
      </c>
      <c r="J464" s="266">
        <f ca="1">IFERROR(__xludf.DUMMYFUNCTION("IMPORTRANGE(""https://docs.google.com/spreadsheets/d/11923uPwbBZFjjGgGUA6NLw09EwE0CqkOc4q9oUmW1yo/edit?usp=sharing"",""แม่ฮ่องสอน!J359"")"),4665)</f>
        <v>4665</v>
      </c>
      <c r="K464" s="267">
        <f t="shared" ref="K464:K515" ca="1" si="117">IF(I464&gt;0,J464*100/I464,0)</f>
        <v>100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IFERROR(__xludf.DUMMYFUNCTION("IMPORTRANGE(""https://docs.google.com/spreadsheets/d/11923uPwbBZFjjGgGUA6NLw09EwE0CqkOc4q9oUmW1yo/edit?usp=sharing"",""แม่ฮ่องสอน!I411"")"),0)</f>
        <v>0</v>
      </c>
      <c r="J516" s="266">
        <f ca="1">IFERROR(__xludf.DUMMYFUNCTION("IMPORTRANGE(""https://docs.google.com/spreadsheets/d/11923uPwbBZFjjGgGUA6NLw09EwE0CqkOc4q9oUmW1yo/edit?usp=sharing"",""แม่ฮ่องสอน!J411"")"),0)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IFERROR(__xludf.DUMMYFUNCTION("IMPORTRANGE(""https://docs.google.com/spreadsheets/d/11923uPwbBZFjjGgGUA6NLw09EwE0CqkOc4q9oUmW1yo/edit?usp=sharing"",""แม่ฮ่องสอน!I412"")"),0)</f>
        <v>0</v>
      </c>
      <c r="J517" s="283">
        <f ca="1">IFERROR(__xludf.DUMMYFUNCTION("IMPORTRANGE(""https://docs.google.com/spreadsheets/d/11923uPwbBZFjjGgGUA6NLw09EwE0CqkOc4q9oUmW1yo/edit?usp=sharing"",""แม่ฮ่องสอน!J412"")"),0)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IFERROR(__xludf.DUMMYFUNCTION("IMPORTRANGE(""https://docs.google.com/spreadsheets/d/11923uPwbBZFjjGgGUA6NLw09EwE0CqkOc4q9oUmW1yo/edit?usp=sharing"",""แม่ฮ่องสอน!I413"")"),0)</f>
        <v>0</v>
      </c>
      <c r="J518" s="283">
        <f ca="1">IFERROR(__xludf.DUMMYFUNCTION("IMPORTRANGE(""https://docs.google.com/spreadsheets/d/11923uPwbBZFjjGgGUA6NLw09EwE0CqkOc4q9oUmW1yo/edit?usp=sharing"",""แม่ฮ่องสอน!J413"")"),0)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IFERROR(__xludf.DUMMYFUNCTION("IMPORTRANGE(""https://docs.google.com/spreadsheets/d/11923uPwbBZFjjGgGUA6NLw09EwE0CqkOc4q9oUmW1yo/edit?usp=sharing"",""แม่ฮ่องสอน!I420"")"),24)</f>
        <v>24</v>
      </c>
      <c r="J525" s="283">
        <f ca="1">IFERROR(__xludf.DUMMYFUNCTION("IMPORTRANGE(""https://docs.google.com/spreadsheets/d/11923uPwbBZFjjGgGUA6NLw09EwE0CqkOc4q9oUmW1yo/edit?usp=sharing"",""แม่ฮ่องสอน!J420"")"),24)</f>
        <v>24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IFERROR(__xludf.DUMMYFUNCTION("IMPORTRANGE(""https://docs.google.com/spreadsheets/d/11923uPwbBZFjjGgGUA6NLw09EwE0CqkOc4q9oUmW1yo/edit?usp=sharing"",""แม่ฮ่องสอน!I421"")"),4)</f>
        <v>4</v>
      </c>
      <c r="J526" s="283">
        <f ca="1">IFERROR(__xludf.DUMMYFUNCTION("IMPORTRANGE(""https://docs.google.com/spreadsheets/d/11923uPwbBZFjjGgGUA6NLw09EwE0CqkOc4q9oUmW1yo/edit?usp=sharing"",""แม่ฮ่องสอน!J421"")"),4)</f>
        <v>4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IFERROR(__xludf.DUMMYFUNCTION("IMPORTRANGE(""https://docs.google.com/spreadsheets/d/11923uPwbBZFjjGgGUA6NLw09EwE0CqkOc4q9oUmW1yo/edit?usp=sharing"",""แม่ฮ่องสอน!M428"")"),30107)</f>
        <v>30107</v>
      </c>
      <c r="O533" s="411">
        <f t="shared" ref="O533:O537" ca="1" si="118">+IF(L533&gt;0,N533*100/L533,0)</f>
        <v>87.67326732673267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IFERROR(__xludf.DUMMYFUNCTION("IMPORTRANGE(""https://docs.google.com/spreadsheets/d/11923uPwbBZFjjGgGUA6NLw09EwE0CqkOc4q9oUmW1yo/edit?usp=sharing"",""แม่ฮ่องสอน!M430"")"),30107)</f>
        <v>30107</v>
      </c>
      <c r="O535" s="168">
        <f t="shared" ca="1" si="118"/>
        <v>87.67326732673267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IFERROR(__xludf.DUMMYFUNCTION("IMPORTRANGE(""https://docs.google.com/spreadsheets/d/11923uPwbBZFjjGgGUA6NLw09EwE0CqkOc4q9oUmW1yo/edit?usp=sharing"",""แม่ฮ่องสอน!M432"")"),30107)</f>
        <v>30107</v>
      </c>
      <c r="O537" s="168">
        <f t="shared" ca="1" si="118"/>
        <v>87.67326732673267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IFERROR(__xludf.DUMMYFUNCTION("IMPORTRANGE(""https://docs.google.com/spreadsheets/d/11923uPwbBZFjjGgGUA6NLw09EwE0CqkOc4q9oUmW1yo/edit?usp=sharing"",""แม่ฮ่องสอน!M436"")"),11367)</f>
        <v>11367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IFERROR(__xludf.DUMMYFUNCTION("IMPORTRANGE(""https://docs.google.com/spreadsheets/d/11923uPwbBZFjjGgGUA6NLw09EwE0CqkOc4q9oUmW1yo/edit?usp=sharing"",""แม่ฮ่องสอน!J459"")"),260)</f>
        <v>260</v>
      </c>
      <c r="K564" s="371">
        <f ca="1">IF(I564&gt;0,J564*100/I564,0)</f>
        <v>104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IFERROR(__xludf.DUMMYFUNCTION("IMPORTRANGE(""https://docs.google.com/spreadsheets/d/11923uPwbBZFjjGgGUA6NLw09EwE0CqkOc4q9oUmW1yo/edit?usp=sharing"",""แม่ฮ่องสอน!M459"")"),52407)</f>
        <v>52407</v>
      </c>
      <c r="O564" s="372">
        <f t="shared" ref="O564:O568" ca="1" si="122">+IF(L564&gt;0,N564*100/L564,0)</f>
        <v>40.288284132841326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IFERROR(__xludf.DUMMYFUNCTION("IMPORTRANGE(""https://docs.google.com/spreadsheets/d/11923uPwbBZFjjGgGUA6NLw09EwE0CqkOc4q9oUmW1yo/edit?usp=sharing"",""แม่ฮ่องสอน!M461"")"),52407)</f>
        <v>52407</v>
      </c>
      <c r="O566" s="168">
        <f t="shared" ca="1" si="122"/>
        <v>40.288284132841326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IFERROR(__xludf.DUMMYFUNCTION("IMPORTRANGE(""https://docs.google.com/spreadsheets/d/11923uPwbBZFjjGgGUA6NLw09EwE0CqkOc4q9oUmW1yo/edit?usp=sharing"",""แม่ฮ่องสอน!M463"")"),52407)</f>
        <v>52407</v>
      </c>
      <c r="O568" s="168">
        <f t="shared" ca="1" si="122"/>
        <v>40.288284132841326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IFERROR(__xludf.DUMMYFUNCTION("IMPORTRANGE(""https://docs.google.com/spreadsheets/d/11923uPwbBZFjjGgGUA6NLw09EwE0CqkOc4q9oUmW1yo/edit?usp=sharing"",""แม่ฮ่องสอน!M466"")"),43607)</f>
        <v>43607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IFERROR(__xludf.DUMMYFUNCTION("IMPORTRANGE(""https://docs.google.com/spreadsheets/d/11923uPwbBZFjjGgGUA6NLw09EwE0CqkOc4q9oUmW1yo/edit?usp=sharing"",""แม่ฮ่องสอน!M467"")"),8800)</f>
        <v>8800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IFERROR(__xludf.DUMMYFUNCTION("IMPORTRANGE(""https://docs.google.com/spreadsheets/d/11923uPwbBZFjjGgGUA6NLw09EwE0CqkOc4q9oUmW1yo/edit?usp=sharing"",""แม่ฮ่องสอน!J468"")"),260)</f>
        <v>260</v>
      </c>
      <c r="K573" s="201">
        <f ca="1">IF(I573&gt;0,J573*100/I573,0)</f>
        <v>104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IFERROR(__xludf.DUMMYFUNCTION("IMPORTRANGE(""https://docs.google.com/spreadsheets/d/11923uPwbBZFjjGgGUA6NLw09EwE0CqkOc4q9oUmW1yo/edit?usp=sharing"",""แม่ฮ่องสอน!J471"")"),159)</f>
        <v>159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IFERROR(__xludf.DUMMYFUNCTION("IMPORTRANGE(""https://docs.google.com/spreadsheets/d/11923uPwbBZFjjGgGUA6NLw09EwE0CqkOc4q9oUmW1yo/edit?usp=sharing"",""แม่ฮ่องสอน!J472"")"),101)</f>
        <v>101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IFERROR(__xludf.DUMMYFUNCTION("IMPORTRANGE(""https://docs.google.com/spreadsheets/d/11923uPwbBZFjjGgGUA6NLw09EwE0CqkOc4q9oUmW1yo/edit?usp=sharing"",""แม่ฮ่องสอน!L475"")"),128934)</f>
        <v>128934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IFERROR(__xludf.DUMMYFUNCTION("IMPORTRANGE(""https://docs.google.com/spreadsheets/d/11923uPwbBZFjjGgGUA6NLw09EwE0CqkOc4q9oUmW1yo/edit?usp=sharing"",""แม่ฮ่องสอน!M475"")"),44620)</f>
        <v>44620</v>
      </c>
      <c r="O580" s="372">
        <f t="shared" ref="O580:O584" ca="1" si="124">+IF(L580&gt;0,N580*100/L580,0)</f>
        <v>34.606853118649852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IFERROR(__xludf.DUMMYFUNCTION("IMPORTRANGE(""https://docs.google.com/spreadsheets/d/11923uPwbBZFjjGgGUA6NLw09EwE0CqkOc4q9oUmW1yo/edit?usp=sharing"",""แม่ฮ่องสอน!L477"")"),128934)</f>
        <v>128934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IFERROR(__xludf.DUMMYFUNCTION("IMPORTRANGE(""https://docs.google.com/spreadsheets/d/11923uPwbBZFjjGgGUA6NLw09EwE0CqkOc4q9oUmW1yo/edit?usp=sharing"",""แม่ฮ่องสอน!M477"")"),44620)</f>
        <v>44620</v>
      </c>
      <c r="O582" s="168">
        <f t="shared" ca="1" si="124"/>
        <v>34.606853118649852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IFERROR(__xludf.DUMMYFUNCTION("IMPORTRANGE(""https://docs.google.com/spreadsheets/d/11923uPwbBZFjjGgGUA6NLw09EwE0CqkOc4q9oUmW1yo/edit?usp=sharing"",""แม่ฮ่องสอน!L479"")"),128934)</f>
        <v>128934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IFERROR(__xludf.DUMMYFUNCTION("IMPORTRANGE(""https://docs.google.com/spreadsheets/d/11923uPwbBZFjjGgGUA6NLw09EwE0CqkOc4q9oUmW1yo/edit?usp=sharing"",""แม่ฮ่องสอน!M479"")"),44620)</f>
        <v>44620</v>
      </c>
      <c r="O584" s="168">
        <f t="shared" ca="1" si="124"/>
        <v>34.606853118649852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IFERROR(__xludf.DUMMYFUNCTION("IMPORTRANGE(""https://docs.google.com/spreadsheets/d/11923uPwbBZFjjGgGUA6NLw09EwE0CqkOc4q9oUmW1yo/edit?usp=sharing"",""แม่ฮ่องสอน!M483"")"),44620)</f>
        <v>44620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IFERROR(__xludf.DUMMYFUNCTION("IMPORTRANGE(""https://docs.google.com/spreadsheets/d/11923uPwbBZFjjGgGUA6NLw09EwE0CqkOc4q9oUmW1yo/edit?usp=sharing"",""แม่ฮ่องสอน!I491"")"),0)</f>
        <v>0</v>
      </c>
      <c r="J596" s="240">
        <f ca="1">IFERROR(__xludf.DUMMYFUNCTION("IMPORTRANGE(""https://docs.google.com/spreadsheets/d/11923uPwbBZFjjGgGUA6NLw09EwE0CqkOc4q9oUmW1yo/edit?usp=sharing"",""แม่ฮ่องสอน!J491"")"),0)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7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IFERROR(__xludf.DUMMYFUNCTION("IMPORTRANGE(""https://docs.google.com/spreadsheets/d/11923uPwbBZFjjGgGUA6NLw09EwE0CqkOc4q9oUmW1yo/edit?usp=sharing"",""แม่ฮ่องสอน!L492"")"),6950)</f>
        <v>6950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IFERROR(__xludf.DUMMYFUNCTION("IMPORTRANGE(""https://docs.google.com/spreadsheets/d/11923uPwbBZFjjGgGUA6NLw09EwE0CqkOc4q9oUmW1yo/edit?usp=sharing"",""แม่ฮ่องสอน!M492"")"),3910)</f>
        <v>3910</v>
      </c>
      <c r="O597" s="411">
        <f t="shared" ref="O597:O601" ca="1" si="126">+IF(L597&gt;0,N597*100/L597,0)</f>
        <v>56.258992805755398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IFERROR(__xludf.DUMMYFUNCTION("IMPORTRANGE(""https://docs.google.com/spreadsheets/d/11923uPwbBZFjjGgGUA6NLw09EwE0CqkOc4q9oUmW1yo/edit?usp=sharing"",""แม่ฮ่องสอน!M494"")"),3910)</f>
        <v>3910</v>
      </c>
      <c r="O599" s="168">
        <f t="shared" ca="1" si="126"/>
        <v>56.258992805755398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IFERROR(__xludf.DUMMYFUNCTION("IMPORTRANGE(""https://docs.google.com/spreadsheets/d/11923uPwbBZFjjGgGUA6NLw09EwE0CqkOc4q9oUmW1yo/edit?usp=sharing"",""แม่ฮ่องสอน!M496"")"),3910)</f>
        <v>3910</v>
      </c>
      <c r="O601" s="168">
        <f t="shared" ca="1" si="126"/>
        <v>56.258992805755398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IFERROR(__xludf.DUMMYFUNCTION("IMPORTRANGE(""https://docs.google.com/spreadsheets/d/11923uPwbBZFjjGgGUA6NLw09EwE0CqkOc4q9oUmW1yo/edit?usp=sharing"",""แม่ฮ่องสอน!M500"")"),3910)</f>
        <v>3910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0">
        <f ca="1">IFERROR(__xludf.DUMMYFUNCTION("IMPORTRANGE(""https://docs.google.com/spreadsheets/d/11923uPwbBZFjjGgGUA6NLw09EwE0CqkOc4q9oUmW1yo/edit?usp=sharing"",""แม่ฮ่องสอน!J523"")"),477379.13)</f>
        <v>477379.13</v>
      </c>
      <c r="K628" s="341">
        <f t="shared" ref="K628:K635" ca="1" si="129">IF(I628&gt;0,J628*100/I628,0)</f>
        <v>56.892643024662391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IFERROR(__xludf.DUMMYFUNCTION("IMPORTRANGE(""https://docs.google.com/spreadsheets/d/11923uPwbBZFjjGgGUA6NLw09EwE0CqkOc4q9oUmW1yo/edit?usp=sharing"",""แม่ฮ่องสอน!I524"")"),84)</f>
        <v>84</v>
      </c>
      <c r="J629" s="340">
        <f ca="1">IFERROR(__xludf.DUMMYFUNCTION("IMPORTRANGE(""https://docs.google.com/spreadsheets/d/11923uPwbBZFjjGgGUA6NLw09EwE0CqkOc4q9oUmW1yo/edit?usp=sharing"",""แม่ฮ่องสอน!J524"")"),48)</f>
        <v>48</v>
      </c>
      <c r="K629" s="341">
        <f t="shared" ca="1" si="129"/>
        <v>57.142857142857146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0">
        <f ca="1">IFERROR(__xludf.DUMMYFUNCTION("IMPORTRANGE(""https://docs.google.com/spreadsheets/d/11923uPwbBZFjjGgGUA6NLw09EwE0CqkOc4q9oUmW1yo/edit?usp=sharing"",""แม่ฮ่องสอน!J525"")"),95158.23)</f>
        <v>95158.23</v>
      </c>
      <c r="K630" s="341">
        <f t="shared" ca="1" si="129"/>
        <v>27.876928512335681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IFERROR(__xludf.DUMMYFUNCTION("IMPORTRANGE(""https://docs.google.com/spreadsheets/d/11923uPwbBZFjjGgGUA6NLw09EwE0CqkOc4q9oUmW1yo/edit?usp=sharing"",""แม่ฮ่องสอน!I526"")"),27)</f>
        <v>27</v>
      </c>
      <c r="J631" s="340">
        <f ca="1">IFERROR(__xludf.DUMMYFUNCTION("IMPORTRANGE(""https://docs.google.com/spreadsheets/d/11923uPwbBZFjjGgGUA6NLw09EwE0CqkOc4q9oUmW1yo/edit?usp=sharing"",""แม่ฮ่องสอน!J526"")"),19)</f>
        <v>19</v>
      </c>
      <c r="K631" s="341">
        <f t="shared" ca="1" si="129"/>
        <v>70.370370370370367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IFERROR(__xludf.DUMMYFUNCTION("IMPORTRANGE(""https://docs.google.com/spreadsheets/d/11923uPwbBZFjjGgGUA6NLw09EwE0CqkOc4q9oUmW1yo/edit?usp=sharing"",""แม่ฮ่องสอน!I527"")"),0)</f>
        <v>0</v>
      </c>
      <c r="J632" s="340">
        <f ca="1">IFERROR(__xludf.DUMMYFUNCTION("IMPORTRANGE(""https://docs.google.com/spreadsheets/d/11923uPwbBZFjjGgGUA6NLw09EwE0CqkOc4q9oUmW1yo/edit?usp=sharing"",""แม่ฮ่องสอน!J527"")"),0)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IFERROR(__xludf.DUMMYFUNCTION("IMPORTRANGE(""https://docs.google.com/spreadsheets/d/11923uPwbBZFjjGgGUA6NLw09EwE0CqkOc4q9oUmW1yo/edit?usp=sharing"",""แม่ฮ่องสอน!I528"")"),0)</f>
        <v>0</v>
      </c>
      <c r="J633" s="340">
        <f ca="1">IFERROR(__xludf.DUMMYFUNCTION("IMPORTRANGE(""https://docs.google.com/spreadsheets/d/11923uPwbBZFjjGgGUA6NLw09EwE0CqkOc4q9oUmW1yo/edit?usp=sharing"",""แม่ฮ่องสอน!J528"")"),0)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0">
        <f ca="1">IFERROR(__xludf.DUMMYFUNCTION("IMPORTRANGE(""https://docs.google.com/spreadsheets/d/11923uPwbBZFjjGgGUA6NLw09EwE0CqkOc4q9oUmW1yo/edit?usp=sharing"",""แม่ฮ่องสอน!J529"")"),205000)</f>
        <v>205000</v>
      </c>
      <c r="K634" s="341">
        <f t="shared" ca="1" si="129"/>
        <v>22.777777777777779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IFERROR(__xludf.DUMMYFUNCTION("IMPORTRANGE(""https://docs.google.com/spreadsheets/d/11923uPwbBZFjjGgGUA6NLw09EwE0CqkOc4q9oUmW1yo/edit?usp=sharing"",""แม่ฮ่องสอน!I530"")"),30)</f>
        <v>30</v>
      </c>
      <c r="J635" s="504">
        <f ca="1">IFERROR(__xludf.DUMMYFUNCTION("IMPORTRANGE(""https://docs.google.com/spreadsheets/d/11923uPwbBZFjjGgGUA6NLw09EwE0CqkOc4q9oUmW1yo/edit?usp=sharing"",""แม่ฮ่องสอน!J530"")"),6)</f>
        <v>6</v>
      </c>
      <c r="K635" s="486">
        <f t="shared" ca="1" si="129"/>
        <v>20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262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5351459.5</v>
      </c>
      <c r="M8" s="23">
        <f t="shared" ca="1" si="0"/>
        <v>2155300</v>
      </c>
      <c r="N8" s="23">
        <f t="shared" ca="1" si="0"/>
        <v>2317529.9300000002</v>
      </c>
      <c r="O8" s="22">
        <f t="shared" ref="O8:O16" ca="1" si="1">IF(L8&gt;0,N8*100/L8,0)</f>
        <v>43.306502272884629</v>
      </c>
      <c r="P8" s="22">
        <f t="shared" ref="P8:P16" ca="1" si="2">IF(M8&gt;0,N8*100/M8,0)</f>
        <v>107.5270231522294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5351459.5</v>
      </c>
      <c r="M10" s="30">
        <f t="shared" ca="1" si="4"/>
        <v>2155300</v>
      </c>
      <c r="N10" s="30">
        <f t="shared" ca="1" si="4"/>
        <v>2317529.9300000002</v>
      </c>
      <c r="O10" s="29">
        <f t="shared" ca="1" si="1"/>
        <v>43.306502272884629</v>
      </c>
      <c r="P10" s="29">
        <f t="shared" ca="1" si="2"/>
        <v>107.5270231522294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5139059.5</v>
      </c>
      <c r="M12" s="39">
        <f t="shared" ca="1" si="6"/>
        <v>1942900</v>
      </c>
      <c r="N12" s="39">
        <f t="shared" ca="1" si="6"/>
        <v>2107534.9300000002</v>
      </c>
      <c r="O12" s="39">
        <f t="shared" ca="1" si="1"/>
        <v>41.010128993447154</v>
      </c>
      <c r="P12" s="39">
        <f t="shared" ca="1" si="2"/>
        <v>108.47366977199034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1833600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3305459.5</v>
      </c>
      <c r="M14" s="39">
        <f t="shared" si="8"/>
        <v>0</v>
      </c>
      <c r="N14" s="39">
        <f t="shared" ca="1" si="8"/>
        <v>789842.13</v>
      </c>
      <c r="O14" s="39">
        <f t="shared" ca="1" si="1"/>
        <v>23.895078127564414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212400</v>
      </c>
      <c r="M16" s="39">
        <f t="shared" ca="1" si="10"/>
        <v>212400</v>
      </c>
      <c r="N16" s="39">
        <f t="shared" ca="1" si="10"/>
        <v>209995</v>
      </c>
      <c r="O16" s="50">
        <f t="shared" ca="1" si="1"/>
        <v>98.86770244821092</v>
      </c>
      <c r="P16" s="50">
        <f t="shared" ca="1" si="2"/>
        <v>98.86770244821092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2719825</v>
      </c>
      <c r="M18" s="23">
        <f t="shared" ca="1" si="11"/>
        <v>2155300</v>
      </c>
      <c r="N18" s="23">
        <f t="shared" ca="1" si="11"/>
        <v>1527687.8</v>
      </c>
      <c r="O18" s="22">
        <f t="shared" ref="O18:O20" ca="1" si="12">IF(L18&gt;0,N18*100/L18,0)</f>
        <v>56.168606436075848</v>
      </c>
      <c r="P18" s="22">
        <f t="shared" ref="P18:P26" ca="1" si="13">IF(M18&gt;0,N18*100/M18,0)</f>
        <v>70.880517793346627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2719825</v>
      </c>
      <c r="M20" s="30">
        <f t="shared" ca="1" si="15"/>
        <v>2155300</v>
      </c>
      <c r="N20" s="30">
        <f t="shared" ca="1" si="15"/>
        <v>1527687.8</v>
      </c>
      <c r="O20" s="29">
        <f t="shared" ca="1" si="12"/>
        <v>56.168606436075848</v>
      </c>
      <c r="P20" s="29">
        <f t="shared" ca="1" si="13"/>
        <v>70.880517793346627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2507425</v>
      </c>
      <c r="M22" s="42">
        <f t="shared" ca="1" si="18"/>
        <v>1942900</v>
      </c>
      <c r="N22" s="39">
        <f t="shared" ca="1" si="18"/>
        <v>1317692.8</v>
      </c>
      <c r="O22" s="39">
        <f t="shared" ca="1" si="17"/>
        <v>52.551633648065248</v>
      </c>
      <c r="P22" s="39">
        <f t="shared" ca="1" si="13"/>
        <v>67.820927479540899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1833600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673825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212400</v>
      </c>
      <c r="M26" s="50">
        <f t="shared" ca="1" si="22"/>
        <v>212400</v>
      </c>
      <c r="N26" s="50">
        <f t="shared" ca="1" si="22"/>
        <v>209995</v>
      </c>
      <c r="O26" s="50">
        <f t="shared" ca="1" si="17"/>
        <v>98.86770244821092</v>
      </c>
      <c r="P26" s="50">
        <f t="shared" ca="1" si="13"/>
        <v>98.86770244821092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2631634.5</v>
      </c>
      <c r="M28" s="23">
        <f t="shared" si="23"/>
        <v>0</v>
      </c>
      <c r="N28" s="23">
        <f t="shared" ca="1" si="23"/>
        <v>789842.13</v>
      </c>
      <c r="O28" s="22">
        <f t="shared" ref="O28:O30" ca="1" si="24">IF(L28&gt;0,N28*100/L28,0)</f>
        <v>30.013367357815078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2631634.5</v>
      </c>
      <c r="M30" s="30">
        <f t="shared" si="27"/>
        <v>0</v>
      </c>
      <c r="N30" s="30">
        <f t="shared" ca="1" si="27"/>
        <v>789842.13</v>
      </c>
      <c r="O30" s="29">
        <f t="shared" ca="1" si="24"/>
        <v>30.013367357815078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2631634.5</v>
      </c>
      <c r="M32" s="39">
        <f t="shared" si="30"/>
        <v>0</v>
      </c>
      <c r="N32" s="39">
        <f t="shared" ca="1" si="30"/>
        <v>789842.13</v>
      </c>
      <c r="O32" s="39">
        <f t="shared" ca="1" si="29"/>
        <v>30.013367357815078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2631634.5</v>
      </c>
      <c r="M34" s="39">
        <f t="shared" si="32"/>
        <v>0</v>
      </c>
      <c r="N34" s="39">
        <f t="shared" ca="1" si="32"/>
        <v>789842.13</v>
      </c>
      <c r="O34" s="39">
        <f t="shared" ca="1" si="29"/>
        <v>30.013367357815078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2719825</v>
      </c>
      <c r="M37" s="55">
        <f t="shared" ca="1" si="33"/>
        <v>2155300</v>
      </c>
      <c r="N37" s="55">
        <f t="shared" ca="1" si="33"/>
        <v>1527687.8</v>
      </c>
      <c r="O37" s="56">
        <f t="shared" ca="1" si="29"/>
        <v>56.168606436075848</v>
      </c>
      <c r="P37" s="56">
        <f t="shared" ca="1" si="25"/>
        <v>70.880517793346627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483300</v>
      </c>
      <c r="N41" s="79">
        <f t="shared" ca="1" si="34"/>
        <v>346289.03</v>
      </c>
      <c r="O41" s="78">
        <f t="shared" ref="O41:O43" ca="1" si="35">IF(L41&gt;0,N41*100/L41,0)</f>
        <v>53.738210738671633</v>
      </c>
      <c r="P41" s="78">
        <f t="shared" ref="P41:P43" ca="1" si="36">IF(M41&gt;0,N41*100/M41,0)</f>
        <v>71.650947651562177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483300</v>
      </c>
      <c r="N43" s="79">
        <f t="shared" ca="1" si="38"/>
        <v>346289.03</v>
      </c>
      <c r="O43" s="78">
        <f t="shared" ca="1" si="35"/>
        <v>53.738210738671633</v>
      </c>
      <c r="P43" s="78">
        <f t="shared" ca="1" si="36"/>
        <v>71.650947651562177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644400</v>
      </c>
      <c r="M45" s="50">
        <f ca="1">IFERROR(__xludf.DUMMYFUNCTION("IMPORTRANGE(""https://docs.google.com/spreadsheets/d/1Yj_ptqi66GCucihVvJfMjLAmec39IyEx_6qawtMGysU/edit?usp=sharing"",""สบก!Q32"")"),483300)</f>
        <v>483300</v>
      </c>
      <c r="N45" s="50">
        <f ca="1">IFERROR(__xludf.DUMMYFUNCTION("IMPORTRANGE(""https://docs.google.com/spreadsheets/d/1Yj_ptqi66GCucihVvJfMjLAmec39IyEx_6qawtMGysU/edit?usp=sharing"",""สบก!R32"")"),346289.03)</f>
        <v>346289.03</v>
      </c>
      <c r="O45" s="39">
        <f ca="1">IF(L45&gt;0,N45*100/L45,0)</f>
        <v>53.738210738671633</v>
      </c>
      <c r="P45" s="39">
        <f ca="1">IF(M45&gt;0,N45*100/M45,0)</f>
        <v>71.650947651562177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IFERROR(__xludf.DUMMYFUNCTION("IMPORTRANGE(""https://docs.google.com/spreadsheets/d/1Yj_ptqi66GCucihVvJfMjLAmec39IyEx_6qawtMGysU/edit?usp=sharing"",""สบก!M32"")"),644400)</f>
        <v>644400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566000</v>
      </c>
      <c r="M53" s="121">
        <f t="shared" ca="1" si="39"/>
        <v>438720</v>
      </c>
      <c r="N53" s="121">
        <f t="shared" ca="1" si="39"/>
        <v>295674</v>
      </c>
      <c r="O53" s="120">
        <f t="shared" ref="O53:O55" ca="1" si="40">IF(L53&gt;0,N53*100/L53,0)</f>
        <v>52.23922261484099</v>
      </c>
      <c r="P53" s="120">
        <f t="shared" ref="P53:P55" ca="1" si="41">IF(M53&gt;0,N53*100/M53,0)</f>
        <v>67.394693654266959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566000</v>
      </c>
      <c r="M55" s="121">
        <f t="shared" ca="1" si="43"/>
        <v>438720</v>
      </c>
      <c r="N55" s="121">
        <f t="shared" ca="1" si="43"/>
        <v>295674</v>
      </c>
      <c r="O55" s="120">
        <f t="shared" ca="1" si="40"/>
        <v>52.23922261484099</v>
      </c>
      <c r="P55" s="120">
        <f t="shared" ca="1" si="41"/>
        <v>67.394693654266959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566000</v>
      </c>
      <c r="M57" s="50">
        <f ca="1">IFERROR(__xludf.DUMMYFUNCTION("IMPORTRANGE(""https://docs.google.com/spreadsheets/d/1Yj_ptqi66GCucihVvJfMjLAmec39IyEx_6qawtMGysU/edit?usp=sharing"",""สบก!Z32"")"),438720)</f>
        <v>438720</v>
      </c>
      <c r="N57" s="50">
        <f ca="1">IFERROR(__xludf.DUMMYFUNCTION("IMPORTRANGE(""https://docs.google.com/spreadsheets/d/1Yj_ptqi66GCucihVvJfMjLAmec39IyEx_6qawtMGysU/edit?usp=sharing"",""สบก!AA32"")"),295674)</f>
        <v>295674</v>
      </c>
      <c r="O57" s="39">
        <f ca="1">IF(L57&gt;0,N57*100/L57,0)</f>
        <v>52.23922261484099</v>
      </c>
      <c r="P57" s="39">
        <f ca="1">IF(M57&gt;0,N57*100/M57,0)</f>
        <v>67.394693654266959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IFERROR(__xludf.DUMMYFUNCTION("IMPORTRANGE(""https://docs.google.com/spreadsheets/d/1Yj_ptqi66GCucihVvJfMjLAmec39IyEx_6qawtMGysU/edit?usp=sharing"",""สบก!V32"")"),566000)</f>
        <v>566000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IFERROR(__xludf.DUMMYFUNCTION("IMPORTRANGE(""https://docs.google.com/spreadsheets/d/1Yj_ptqi66GCucihVvJfMjLAmec39IyEx_6qawtMGysU/edit?usp=sharing"",""สบก!AI32"")"),0)</f>
        <v>0</v>
      </c>
      <c r="N70" s="168">
        <f ca="1">IFERROR(__xludf.DUMMYFUNCTION("IMPORTRANGE(""https://docs.google.com/spreadsheets/d/1Yj_ptqi66GCucihVvJfMjLAmec39IyEx_6qawtMGysU/edit?usp=sharing"",""สบก!AJ32"")"),0)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114625</v>
      </c>
      <c r="O94" s="151">
        <f t="shared" ref="O94:O96" ca="1" si="53">IF(L94&gt;0,N94*100/L94,0)</f>
        <v>53.438228438228435</v>
      </c>
      <c r="P94" s="151">
        <f t="shared" ref="P94:P96" ca="1" si="54">IF(M94&gt;0,N94*100/M94,0)</f>
        <v>53.438228438228435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114625</v>
      </c>
      <c r="O96" s="156">
        <f t="shared" ca="1" si="53"/>
        <v>53.438228438228435</v>
      </c>
      <c r="P96" s="156">
        <f t="shared" ca="1" si="54"/>
        <v>53.438228438228435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IFERROR(__xludf.DUMMYFUNCTION("IMPORTRANGE(""https://docs.google.com/spreadsheets/d/1Yj_ptqi66GCucihVvJfMjLAmec39IyEx_6qawtMGysU/edit?usp=sharing"",""สบก!AR32"")"),122100)</f>
        <v>122100</v>
      </c>
      <c r="N98" s="168">
        <f ca="1">IFERROR(__xludf.DUMMYFUNCTION("IMPORTRANGE(""https://docs.google.com/spreadsheets/d/1Yj_ptqi66GCucihVvJfMjLAmec39IyEx_6qawtMGysU/edit?usp=sharing"",""สบก!AS32"")"),24630)</f>
        <v>24630</v>
      </c>
      <c r="O98" s="168">
        <f ca="1">IF(L98&gt;0,N98*100/L98,0)</f>
        <v>20.171990171990171</v>
      </c>
      <c r="P98" s="168">
        <f ca="1">IF(M98&gt;0,N98*100/M98,0)</f>
        <v>20.171990171990171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97.397186147186147</v>
      </c>
      <c r="P102" s="50">
        <f ca="1">IF(M102&gt;0,N102*100/M102,0)</f>
        <v>97.397186147186147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IFERROR(__xludf.DUMMYFUNCTION("IMPORTRANGE(""https://docs.google.com/spreadsheets/d/11923uPwbBZFjjGgGUA6NLw09EwE0CqkOc4q9oUmW1yo/edit?usp=sharing"",""ลำปาง!J50"")"),0)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263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IFERROR(__xludf.DUMMYFUNCTION("IMPORTRANGE(""https://docs.google.com/spreadsheets/d/11923uPwbBZFjjGgGUA6NLw09EwE0CqkOc4q9oUmW1yo/edit?usp=sharing"",""ลำปาง!J65"")"),0)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IFERROR(__xludf.DUMMYFUNCTION("IMPORTRANGE(""https://docs.google.com/spreadsheets/d/11923uPwbBZFjjGgGUA6NLw09EwE0CqkOc4q9oUmW1yo/edit?usp=sharing"",""ลำปาง!I68"")"),0)</f>
        <v>0</v>
      </c>
      <c r="J138" s="266">
        <f ca="1">IFERROR(__xludf.DUMMYFUNCTION("IMPORTRANGE(""https://docs.google.com/spreadsheets/d/11923uPwbBZFjjGgGUA6NLw09EwE0CqkOc4q9oUmW1yo/edit?usp=sharing"",""ลำปาง!J68"")"),0)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55625</v>
      </c>
      <c r="N140" s="152">
        <f t="shared" ca="1" si="64"/>
        <v>60057</v>
      </c>
      <c r="O140" s="151">
        <f t="shared" ref="O140:O142" ca="1" si="65">IF(L140&gt;0,N140*100/L140,0)</f>
        <v>87.039130434782606</v>
      </c>
      <c r="P140" s="151">
        <f t="shared" ref="P140:P142" ca="1" si="66">IF(M140&gt;0,N140*100/M140,0)</f>
        <v>107.96764044943821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55625</v>
      </c>
      <c r="N142" s="88">
        <f t="shared" ca="1" si="68"/>
        <v>60057</v>
      </c>
      <c r="O142" s="156">
        <f t="shared" ca="1" si="65"/>
        <v>87.039130434782606</v>
      </c>
      <c r="P142" s="156">
        <f t="shared" ca="1" si="66"/>
        <v>107.96764044943821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IFERROR(__xludf.DUMMYFUNCTION("IMPORTRANGE(""https://docs.google.com/spreadsheets/d/1Yj_ptqi66GCucihVvJfMjLAmec39IyEx_6qawtMGysU/edit?usp=sharing"",""สบก!BJ32"")"),55625)</f>
        <v>55625</v>
      </c>
      <c r="N144" s="168">
        <f ca="1">IFERROR(__xludf.DUMMYFUNCTION("IMPORTRANGE(""https://docs.google.com/spreadsheets/d/1Yj_ptqi66GCucihVvJfMjLAmec39IyEx_6qawtMGysU/edit?usp=sharing"",""สบก!BK32"")"),60057)</f>
        <v>60057</v>
      </c>
      <c r="O144" s="168">
        <f ca="1">IF(L144&gt;0,N144*100/L144,0)</f>
        <v>87.039130434782606</v>
      </c>
      <c r="P144" s="168">
        <f ca="1">IF(M144&gt;0,N144*100/M144,0)</f>
        <v>107.96764044943821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IFERROR(__xludf.DUMMYFUNCTION("IMPORTRANGE(""https://docs.google.com/spreadsheets/d/11923uPwbBZFjjGgGUA6NLw09EwE0CqkOc4q9oUmW1yo/edit?usp=sharing"",""ลำปาง!I74"")"),4)</f>
        <v>4</v>
      </c>
      <c r="J149" s="274">
        <f ca="1">IFERROR(__xludf.DUMMYFUNCTION("IMPORTRANGE(""https://docs.google.com/spreadsheets/d/11923uPwbBZFjjGgGUA6NLw09EwE0CqkOc4q9oUmW1yo/edit?usp=sharing"",""ลำปาง!J74"")"),2)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IFERROR(__xludf.DUMMYFUNCTION("IMPORTRANGE(""https://docs.google.com/spreadsheets/d/11923uPwbBZFjjGgGUA6NLw09EwE0CqkOc4q9oUmW1yo/edit?usp=sharing"",""ลำปาง!I89"")"),3)</f>
        <v>3</v>
      </c>
      <c r="J164" s="283">
        <f ca="1">IFERROR(__xludf.DUMMYFUNCTION("IMPORTRANGE(""https://docs.google.com/spreadsheets/d/11923uPwbBZFjjGgGUA6NLw09EwE0CqkOc4q9oUmW1yo/edit?usp=sharing"",""ลำปาง!J89"")"),3)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IFERROR(__xludf.DUMMYFUNCTION("IMPORTRANGE(""https://docs.google.com/spreadsheets/d/11923uPwbBZFjjGgGUA6NLw09EwE0CqkOc4q9oUmW1yo/edit?usp=sharing"",""ลำปาง!J100"")"),0)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IFERROR(__xludf.DUMMYFUNCTION("IMPORTRANGE(""https://docs.google.com/spreadsheets/d/11923uPwbBZFjjGgGUA6NLw09EwE0CqkOc4q9oUmW1yo/edit?usp=sharing"",""ลำปาง!I101"")"),0)</f>
        <v>0</v>
      </c>
      <c r="J176" s="283">
        <f ca="1">IFERROR(__xludf.DUMMYFUNCTION("IMPORTRANGE(""https://docs.google.com/spreadsheets/d/11923uPwbBZFjjGgGUA6NLw09EwE0CqkOc4q9oUmW1yo/edit?usp=sharing"",""ลำปาง!J101"")"),0)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IFERROR(__xludf.DUMMYFUNCTION("IMPORTRANGE(""https://docs.google.com/spreadsheets/d/11923uPwbBZFjjGgGUA6NLw09EwE0CqkOc4q9oUmW1yo/edit?usp=sharing"",""ลำปาง!J113"")"),0)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IFERROR(__xludf.DUMMYFUNCTION("IMPORTRANGE(""https://docs.google.com/spreadsheets/d/11923uPwbBZFjjGgGUA6NLw09EwE0CqkOc4q9oUmW1yo/edit?usp=sharing"",""ลำปาง!I114"")"),50000)</f>
        <v>50000</v>
      </c>
      <c r="J189" s="283">
        <f ca="1">IFERROR(__xludf.DUMMYFUNCTION("IMPORTRANGE(""https://docs.google.com/spreadsheets/d/11923uPwbBZFjjGgGUA6NLw09EwE0CqkOc4q9oUmW1yo/edit?usp=sharing"",""ลำปาง!J114"")"),0)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IFERROR(__xludf.DUMMYFUNCTION("IMPORTRANGE(""https://docs.google.com/spreadsheets/d/11923uPwbBZFjjGgGUA6NLw09EwE0CqkOc4q9oUmW1yo/edit?usp=sharing"",""ลำปาง!J128"")"),0)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IFERROR(__xludf.DUMMYFUNCTION("IMPORTRANGE(""https://docs.google.com/spreadsheets/d/11923uPwbBZFjjGgGUA6NLw09EwE0CqkOc4q9oUmW1yo/edit?usp=sharing"",""ลำปาง!I129"")"),0)</f>
        <v>0</v>
      </c>
      <c r="J204" s="283">
        <f ca="1">IFERROR(__xludf.DUMMYFUNCTION("IMPORTRANGE(""https://docs.google.com/spreadsheets/d/11923uPwbBZFjjGgGUA6NLw09EwE0CqkOc4q9oUmW1yo/edit?usp=sharing"",""ลำปาง!J129"")"),0)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IFERROR(__xludf.DUMMYFUNCTION("IMPORTRANGE(""https://docs.google.com/spreadsheets/d/11923uPwbBZFjjGgGUA6NLw09EwE0CqkOc4q9oUmW1yo/edit?usp=sharing"",""ลำปาง!J143"")"),0)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IFERROR(__xludf.DUMMYFUNCTION("IMPORTRANGE(""https://docs.google.com/spreadsheets/d/11923uPwbBZFjjGgGUA6NLw09EwE0CqkOc4q9oUmW1yo/edit?usp=sharing"",""ลำปาง!I144"")"),15)</f>
        <v>15</v>
      </c>
      <c r="J219" s="266">
        <f ca="1">IFERROR(__xludf.DUMMYFUNCTION("IMPORTRANGE(""https://docs.google.com/spreadsheets/d/11923uPwbBZFjjGgGUA6NLw09EwE0CqkOc4q9oUmW1yo/edit?usp=sharing"",""ลำปาง!J144"")"),15)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IFERROR(__xludf.DUMMYFUNCTION("IMPORTRANGE(""https://docs.google.com/spreadsheets/d/11923uPwbBZFjjGgGUA6NLw09EwE0CqkOc4q9oUmW1yo/edit?usp=sharing"",""ลำปาง!I149"")"),15)</f>
        <v>15</v>
      </c>
      <c r="J229" s="266">
        <f ca="1">IFERROR(__xludf.DUMMYFUNCTION("IMPORTRANGE(""https://docs.google.com/spreadsheets/d/11923uPwbBZFjjGgGUA6NLw09EwE0CqkOc4q9oUmW1yo/edit?usp=sharing"",""ลำปาง!J149"")"),15)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IFERROR(__xludf.DUMMYFUNCTION("IMPORTRANGE(""https://docs.google.com/spreadsheets/d/11923uPwbBZFjjGgGUA6NLw09EwE0CqkOc4q9oUmW1yo/edit?usp=sharing"",""ลำปาง!J157"")"),0)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IFERROR(__xludf.DUMMYFUNCTION("IMPORTRANGE(""https://docs.google.com/spreadsheets/d/11923uPwbBZFjjGgGUA6NLw09EwE0CqkOc4q9oUmW1yo/edit?usp=sharing"",""ลำปาง!I158"")"),0)</f>
        <v>0</v>
      </c>
      <c r="J238" s="266">
        <f ca="1">IFERROR(__xludf.DUMMYFUNCTION("IMPORTRANGE(""https://docs.google.com/spreadsheets/d/11923uPwbBZFjjGgGUA6NLw09EwE0CqkOc4q9oUmW1yo/edit?usp=sharing"",""ลำปาง!J158"")"),0)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IFERROR(__xludf.DUMMYFUNCTION("IMPORTRANGE(""https://docs.google.com/spreadsheets/d/11923uPwbBZFjjGgGUA6NLw09EwE0CqkOc4q9oUmW1yo/edit?usp=sharing"",""ลำปาง!J166"")"),0)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IFERROR(__xludf.DUMMYFUNCTION("IMPORTRANGE(""https://docs.google.com/spreadsheets/d/11923uPwbBZFjjGgGUA6NLw09EwE0CqkOc4q9oUmW1yo/edit?usp=sharing"",""ลำปาง!I169"")"),0)</f>
        <v>0</v>
      </c>
      <c r="J249" s="315">
        <f ca="1">IFERROR(__xludf.DUMMYFUNCTION("IMPORTRANGE(""https://docs.google.com/spreadsheets/d/11923uPwbBZFjjGgGUA6NLw09EwE0CqkOc4q9oUmW1yo/edit?usp=sharing"",""ลำปาง!J169"")"),0)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IFERROR(__xludf.DUMMYFUNCTION("IMPORTRANGE(""https://docs.google.com/spreadsheets/d/11923uPwbBZFjjGgGUA6NLw09EwE0CqkOc4q9oUmW1yo/edit?usp=sharing"",""ลำปาง!J184"")"),0)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IFERROR(__xludf.DUMMYFUNCTION("IMPORTRANGE(""https://docs.google.com/spreadsheets/d/11923uPwbBZFjjGgGUA6NLw09EwE0CqkOc4q9oUmW1yo/edit?usp=sharing"",""ลำปาง!I185"")"),15)</f>
        <v>15</v>
      </c>
      <c r="J270" s="315">
        <f ca="1">IFERROR(__xludf.DUMMYFUNCTION("IMPORTRANGE(""https://docs.google.com/spreadsheets/d/11923uPwbBZFjjGgGUA6NLw09EwE0CqkOc4q9oUmW1yo/edit?usp=sharing"",""ลำปาง!J185"")"),15)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154200</v>
      </c>
      <c r="N271" s="152">
        <f t="shared" ca="1" si="83"/>
        <v>81172</v>
      </c>
      <c r="O271" s="151">
        <f t="shared" ref="O271:O273" ca="1" si="84">IF(L271&gt;0,N271*100/L271,0)</f>
        <v>43.361111111111114</v>
      </c>
      <c r="P271" s="151">
        <f t="shared" ref="P271:P273" ca="1" si="85">IF(M271&gt;0,N271*100/M271,0)</f>
        <v>52.64072632944228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154200</v>
      </c>
      <c r="N273" s="88">
        <f t="shared" ca="1" si="87"/>
        <v>81172</v>
      </c>
      <c r="O273" s="156">
        <f t="shared" ca="1" si="84"/>
        <v>43.361111111111114</v>
      </c>
      <c r="P273" s="156">
        <f t="shared" ca="1" si="85"/>
        <v>52.64072632944228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IFERROR(__xludf.DUMMYFUNCTION("IMPORTRANGE(""https://docs.google.com/spreadsheets/d/1Yj_ptqi66GCucihVvJfMjLAmec39IyEx_6qawtMGysU/edit?usp=sharing"",""สบก!CK32"")"),154200)</f>
        <v>154200</v>
      </c>
      <c r="N275" s="168">
        <f ca="1">IFERROR(__xludf.DUMMYFUNCTION("IMPORTRANGE(""https://docs.google.com/spreadsheets/d/1Yj_ptqi66GCucihVvJfMjLAmec39IyEx_6qawtMGysU/edit?usp=sharing"",""สบก!CL32"")"),81172)</f>
        <v>81172</v>
      </c>
      <c r="O275" s="168">
        <f ca="1">IF(L275&gt;0,N275*100/L275,0)</f>
        <v>43.361111111111114</v>
      </c>
      <c r="P275" s="168">
        <f ca="1">IF(M275&gt;0,N275*100/M275,0)</f>
        <v>52.64072632944228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IFERROR(__xludf.DUMMYFUNCTION("IMPORTRANGE(""https://docs.google.com/spreadsheets/d/11923uPwbBZFjjGgGUA6NLw09EwE0CqkOc4q9oUmW1yo/edit?usp=sharing"",""ลำปาง!I199"")"),0)</f>
        <v>0</v>
      </c>
      <c r="J289" s="315">
        <f ca="1">IFERROR(__xludf.DUMMYFUNCTION("IMPORTRANGE(""https://docs.google.com/spreadsheets/d/11923uPwbBZFjjGgGUA6NLw09EwE0CqkOc4q9oUmW1yo/edit?usp=sharing"",""ลำปาง!J199"")"),0)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IFERROR(__xludf.DUMMYFUNCTION("IMPORTRANGE(""https://docs.google.com/spreadsheets/d/11923uPwbBZFjjGgGUA6NLw09EwE0CqkOc4q9oUmW1yo/edit?usp=sharing"",""ลำปาง!J213"")"),0)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IFERROR(__xludf.DUMMYFUNCTION("IMPORTRANGE(""https://docs.google.com/spreadsheets/d/11923uPwbBZFjjGgGUA6NLw09EwE0CqkOc4q9oUmW1yo/edit?usp=sharing"",""ลำปาง!I214"")"),0)</f>
        <v>0</v>
      </c>
      <c r="J309" s="332">
        <f ca="1">IFERROR(__xludf.DUMMYFUNCTION("IMPORTRANGE(""https://docs.google.com/spreadsheets/d/11923uPwbBZFjjGgGUA6NLw09EwE0CqkOc4q9oUmW1yo/edit?usp=sharing"",""ลำปาง!J214"")"),0)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IFERROR(__xludf.DUMMYFUNCTION("IMPORTRANGE(""https://docs.google.com/spreadsheets/d/11923uPwbBZFjjGgGUA6NLw09EwE0CqkOc4q9oUmW1yo/edit?usp=sharing"",""ลำปาง!J226"")"),0)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IFERROR(__xludf.DUMMYFUNCTION("IMPORTRANGE(""https://docs.google.com/spreadsheets/d/11923uPwbBZFjjGgGUA6NLw09EwE0CqkOc4q9oUmW1yo/edit?usp=sharing"",""ลำปาง!I228"")"),400)</f>
        <v>400</v>
      </c>
      <c r="J328" s="338">
        <f ca="1">IFERROR(__xludf.DUMMYFUNCTION("IMPORTRANGE(""https://docs.google.com/spreadsheets/d/11923uPwbBZFjjGgGUA6NLw09EwE0CqkOc4q9oUmW1yo/edit?usp=sharing"",""ลำปาง!J228"")"),188)</f>
        <v>188</v>
      </c>
      <c r="K328" s="316">
        <f ca="1">IF(I328&gt;0,J328*100/I328,0)</f>
        <v>47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1017600</v>
      </c>
      <c r="M329" s="152">
        <f t="shared" ca="1" si="98"/>
        <v>787830</v>
      </c>
      <c r="N329" s="152">
        <f t="shared" ca="1" si="98"/>
        <v>608745.77</v>
      </c>
      <c r="O329" s="151">
        <f t="shared" ref="O329:O331" ca="1" si="99">IF(L329&gt;0,N329*100/L329,0)</f>
        <v>59.82171481918239</v>
      </c>
      <c r="P329" s="151">
        <f t="shared" ref="P329:P331" ca="1" si="100">IF(M329&gt;0,N329*100/M329,0)</f>
        <v>77.268670906159954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1017600</v>
      </c>
      <c r="M331" s="88">
        <f t="shared" ca="1" si="102"/>
        <v>787830</v>
      </c>
      <c r="N331" s="88">
        <f t="shared" ca="1" si="102"/>
        <v>608745.77</v>
      </c>
      <c r="O331" s="156">
        <f t="shared" ca="1" si="99"/>
        <v>59.82171481918239</v>
      </c>
      <c r="P331" s="156">
        <f t="shared" ca="1" si="100"/>
        <v>77.268670906159954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IFERROR(__xludf.DUMMYFUNCTION("IMPORTRANGE(""https://docs.google.com/spreadsheets/d/1Yj_ptqi66GCucihVvJfMjLAmec39IyEx_6qawtMGysU/edit?usp=sharing"",""สบก!DL32"")"),667830)</f>
        <v>667830</v>
      </c>
      <c r="N333" s="168">
        <f ca="1">IFERROR(__xludf.DUMMYFUNCTION("IMPORTRANGE(""https://docs.google.com/spreadsheets/d/1Yj_ptqi66GCucihVvJfMjLAmec39IyEx_6qawtMGysU/edit?usp=sharing"",""สบก!DM32"")"),488745.77)</f>
        <v>488745.77</v>
      </c>
      <c r="O333" s="168">
        <f ca="1">IF(L333&gt;0,N333*100/L333,0)</f>
        <v>54.450286319073086</v>
      </c>
      <c r="P333" s="168">
        <f ca="1">IF(M333&gt;0,N333*100/M333,0)</f>
        <v>73.184159142296693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IFERROR(__xludf.DUMMYFUNCTION("IMPORTRANGE(""https://docs.google.com/spreadsheets/d/1Yj_ptqi66GCucihVvJfMjLAmec39IyEx_6qawtMGysU/edit?usp=sharing"",""สบก!DJ32"")"),120000)</f>
        <v>120000</v>
      </c>
      <c r="M337" s="50">
        <f ca="1">L337</f>
        <v>120000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IFERROR(__xludf.DUMMYFUNCTION("IMPORTRANGE(""https://docs.google.com/spreadsheets/d/11923uPwbBZFjjGgGUA6NLw09EwE0CqkOc4q9oUmW1yo/edit?usp=sharing"",""ลำปาง!J234"")"),219)</f>
        <v>219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IFERROR(__xludf.DUMMYFUNCTION("IMPORTRANGE(""https://docs.google.com/spreadsheets/d/11923uPwbBZFjjGgGUA6NLw09EwE0CqkOc4q9oUmW1yo/edit?usp=sharing"",""ลำปาง!J235"")"),1212.41)</f>
        <v>1212.4100000000001</v>
      </c>
      <c r="K340" s="341">
        <f t="shared" ca="1" si="103"/>
        <v>71.318235294117656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IFERROR(__xludf.DUMMYFUNCTION("IMPORTRANGE(""https://docs.google.com/spreadsheets/d/11923uPwbBZFjjGgGUA6NLw09EwE0CqkOc4q9oUmW1yo/edit?usp=sharing"",""ลำปาง!J236"")"),313)</f>
        <v>313</v>
      </c>
      <c r="K341" s="341">
        <f t="shared" ca="1" si="103"/>
        <v>78.25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IFERROR(__xludf.DUMMYFUNCTION("IMPORTRANGE(""https://docs.google.com/spreadsheets/d/11923uPwbBZFjjGgGUA6NLw09EwE0CqkOc4q9oUmW1yo/edit?usp=sharing"",""ลำปาง!J237"")"),1908.35)</f>
        <v>1908.35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IFERROR(__xludf.DUMMYFUNCTION("IMPORTRANGE(""https://docs.google.com/spreadsheets/d/11923uPwbBZFjjGgGUA6NLw09EwE0CqkOc4q9oUmW1yo/edit?usp=sharing"",""ลำปาง!J238"")"),2)</f>
        <v>2</v>
      </c>
      <c r="K343" s="341">
        <f t="shared" ca="1" si="103"/>
        <v>0.5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IFERROR(__xludf.DUMMYFUNCTION("IMPORTRANGE(""https://docs.google.com/spreadsheets/d/11923uPwbBZFjjGgGUA6NLw09EwE0CqkOc4q9oUmW1yo/edit?usp=sharing"",""ลำปาง!J239"")"),5.52)</f>
        <v>5.52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IFERROR(__xludf.DUMMYFUNCTION("IMPORTRANGE(""https://docs.google.com/spreadsheets/d/11923uPwbBZFjjGgGUA6NLw09EwE0CqkOc4q9oUmW1yo/edit?usp=sharing"",""ลำปาง!J240"")"),188)</f>
        <v>188</v>
      </c>
      <c r="K345" s="341">
        <f t="shared" ca="1" si="103"/>
        <v>47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IFERROR(__xludf.DUMMYFUNCTION("IMPORTRANGE(""https://docs.google.com/spreadsheets/d/11923uPwbBZFjjGgGUA6NLw09EwE0CqkOc4q9oUmW1yo/edit?usp=sharing"",""ลำปาง!J241"")"),1072.07)</f>
        <v>1072.07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IFERROR(__xludf.DUMMYFUNCTION("IMPORTRANGE(""https://docs.google.com/spreadsheets/d/11923uPwbBZFjjGgGUA6NLw09EwE0CqkOc4q9oUmW1yo/edit?usp=sharing"",""ลำปาง!L242"")"),2631634.5)</f>
        <v>2631634.5</v>
      </c>
      <c r="M347" s="357"/>
      <c r="N347" s="357">
        <f ca="1">IFERROR(__xludf.DUMMYFUNCTION("IMPORTRANGE(""https://docs.google.com/spreadsheets/d/11923uPwbBZFjjGgGUA6NLw09EwE0CqkOc4q9oUmW1yo/edit?usp=sharing"",""ลำปาง!M242"")"),789842.13)</f>
        <v>789842.13</v>
      </c>
      <c r="O347" s="357">
        <f ca="1">+IF(L347&gt;0,N347*100/L347,0)</f>
        <v>30.013367357815078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IFERROR(__xludf.DUMMYFUNCTION("IMPORTRANGE(""https://docs.google.com/spreadsheets/d/11923uPwbBZFjjGgGUA6NLw09EwE0CqkOc4q9oUmW1yo/edit?usp=sharing"",""ลำปาง!M244"")"),119106.72)</f>
        <v>119106.72</v>
      </c>
      <c r="O349" s="372">
        <f ca="1">+IF(L349&gt;0,N349*100/L349,0)</f>
        <v>51.623925104022192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IFERROR(__xludf.DUMMYFUNCTION("IMPORTRANGE(""https://docs.google.com/spreadsheets/d/11923uPwbBZFjjGgGUA6NLw09EwE0CqkOc4q9oUmW1yo/edit?usp=sharing"",""ลำปาง!M247"")"),119106.72)</f>
        <v>119106.72</v>
      </c>
      <c r="O352" s="165">
        <f t="shared" ca="1" si="105"/>
        <v>51.623925104022192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IFERROR(__xludf.DUMMYFUNCTION("IMPORTRANGE(""https://docs.google.com/spreadsheets/d/11923uPwbBZFjjGgGUA6NLw09EwE0CqkOc4q9oUmW1yo/edit?usp=sharing"",""ลำปาง!M249"")"),119106.72)</f>
        <v>119106.72</v>
      </c>
      <c r="O354" s="168">
        <f t="shared" ca="1" si="105"/>
        <v>51.623925104022192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IFERROR(__xludf.DUMMYFUNCTION("IMPORTRANGE(""https://docs.google.com/spreadsheets/d/11923uPwbBZFjjGgGUA6NLw09EwE0CqkOc4q9oUmW1yo/edit?usp=sharing"",""ลำปาง!M252"")"),52066.72)</f>
        <v>52066.720000000001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IFERROR(__xludf.DUMMYFUNCTION("IMPORTRANGE(""https://docs.google.com/spreadsheets/d/11923uPwbBZFjjGgGUA6NLw09EwE0CqkOc4q9oUmW1yo/edit?usp=sharing"",""ลำปาง!M253"")"),10840)</f>
        <v>10840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IFERROR(__xludf.DUMMYFUNCTION("IMPORTRANGE(""https://docs.google.com/spreadsheets/d/11923uPwbBZFjjGgGUA6NLw09EwE0CqkOc4q9oUmW1yo/edit?usp=sharing"",""ลำปาง!M275"")"),241663.38)</f>
        <v>241663.38</v>
      </c>
      <c r="O380" s="372">
        <f ca="1">+IF(L380&gt;0,N380*100/L380,0)</f>
        <v>23.496225644615564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IFERROR(__xludf.DUMMYFUNCTION("IMPORTRANGE(""https://docs.google.com/spreadsheets/d/11923uPwbBZFjjGgGUA6NLw09EwE0CqkOc4q9oUmW1yo/edit?usp=sharing"",""ลำปาง!M278"")"),241663.38)</f>
        <v>241663.38</v>
      </c>
      <c r="O383" s="165">
        <f t="shared" ca="1" si="109"/>
        <v>23.496225644615564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IFERROR(__xludf.DUMMYFUNCTION("IMPORTRANGE(""https://docs.google.com/spreadsheets/d/11923uPwbBZFjjGgGUA6NLw09EwE0CqkOc4q9oUmW1yo/edit?usp=sharing"",""ลำปาง!M280"")"),241663.38)</f>
        <v>241663.38</v>
      </c>
      <c r="O385" s="168">
        <f t="shared" ca="1" si="109"/>
        <v>23.496225644615564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IFERROR(__xludf.DUMMYFUNCTION("IMPORTRANGE(""https://docs.google.com/spreadsheets/d/11923uPwbBZFjjGgGUA6NLw09EwE0CqkOc4q9oUmW1yo/edit?usp=sharing"",""ลำปาง!M281"")"),173850)</f>
        <v>173850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IFERROR(__xludf.DUMMYFUNCTION("IMPORTRANGE(""https://docs.google.com/spreadsheets/d/11923uPwbBZFjjGgGUA6NLw09EwE0CqkOc4q9oUmW1yo/edit?usp=sharing"",""ลำปาง!M283"")"),52433.38)</f>
        <v>52433.38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IFERROR(__xludf.DUMMYFUNCTION("IMPORTRANGE(""https://docs.google.com/spreadsheets/d/11923uPwbBZFjjGgGUA6NLw09EwE0CqkOc4q9oUmW1yo/edit?usp=sharing"",""ลำปาง!M284"")"),15380)</f>
        <v>15380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IFERROR(__xludf.DUMMYFUNCTION("IMPORTRANGE(""https://docs.google.com/spreadsheets/d/11923uPwbBZFjjGgGUA6NLw09EwE0CqkOc4q9oUmW1yo/edit?usp=sharing"",""ลำปาง!M296"")"),51155)</f>
        <v>51155</v>
      </c>
      <c r="O401" s="372">
        <f ca="1">+IF(L401&gt;0,N401*100/L401,0)</f>
        <v>35.386690647482013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IFERROR(__xludf.DUMMYFUNCTION("IMPORTRANGE(""https://docs.google.com/spreadsheets/d/11923uPwbBZFjjGgGUA6NLw09EwE0CqkOc4q9oUmW1yo/edit?usp=sharing"",""ลำปาง!M299"")"),51155)</f>
        <v>51155</v>
      </c>
      <c r="O404" s="168">
        <f t="shared" ca="1" si="112"/>
        <v>35.386690647482013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IFERROR(__xludf.DUMMYFUNCTION("IMPORTRANGE(""https://docs.google.com/spreadsheets/d/11923uPwbBZFjjGgGUA6NLw09EwE0CqkOc4q9oUmW1yo/edit?usp=sharing"",""ลำปาง!M301"")"),51155)</f>
        <v>51155</v>
      </c>
      <c r="O406" s="168">
        <f t="shared" ca="1" si="112"/>
        <v>35.386690647482013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IFERROR(__xludf.DUMMYFUNCTION("IMPORTRANGE(""https://docs.google.com/spreadsheets/d/11923uPwbBZFjjGgGUA6NLw09EwE0CqkOc4q9oUmW1yo/edit?usp=sharing"",""ลำปาง!M302"")"),41155)</f>
        <v>41155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IFERROR(__xludf.DUMMYFUNCTION("IMPORTRANGE(""https://docs.google.com/spreadsheets/d/11923uPwbBZFjjGgGUA6NLw09EwE0CqkOc4q9oUmW1yo/edit?usp=sharing"",""ลำปาง!M305"")"),10000)</f>
        <v>10000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IFERROR(__xludf.DUMMYFUNCTION("IMPORTRANGE(""https://docs.google.com/spreadsheets/d/11923uPwbBZFjjGgGUA6NLw09EwE0CqkOc4q9oUmW1yo/edit?usp=sharing"",""ลำปาง!M330"")"),45560.39)</f>
        <v>45560.39</v>
      </c>
      <c r="O435" s="411">
        <f t="shared" ref="O435:O439" ca="1" si="114">+IF(L435&gt;0,N435*100/L435,0)</f>
        <v>42.981499999999997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IFERROR(__xludf.DUMMYFUNCTION("IMPORTRANGE(""https://docs.google.com/spreadsheets/d/11923uPwbBZFjjGgGUA6NLw09EwE0CqkOc4q9oUmW1yo/edit?usp=sharing"",""ลำปาง!M332"")"),45560.39)</f>
        <v>45560.39</v>
      </c>
      <c r="O437" s="168">
        <f t="shared" ca="1" si="114"/>
        <v>42.981499999999997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IFERROR(__xludf.DUMMYFUNCTION("IMPORTRANGE(""https://docs.google.com/spreadsheets/d/11923uPwbBZFjjGgGUA6NLw09EwE0CqkOc4q9oUmW1yo/edit?usp=sharing"",""ลำปาง!M334"")"),45560.39)</f>
        <v>45560.39</v>
      </c>
      <c r="O439" s="168">
        <f t="shared" ca="1" si="114"/>
        <v>42.981499999999997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IFERROR(__xludf.DUMMYFUNCTION("IMPORTRANGE(""https://docs.google.com/spreadsheets/d/11923uPwbBZFjjGgGUA6NLw09EwE0CqkOc4q9oUmW1yo/edit?usp=sharing"",""ลำปาง!M335"")"),32200)</f>
        <v>32200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IFERROR(__xludf.DUMMYFUNCTION("IMPORTRANGE(""https://docs.google.com/spreadsheets/d/11923uPwbBZFjjGgGUA6NLw09EwE0CqkOc4q9oUmW1yo/edit?usp=sharing"",""ลำปาง!M338"")"),13360.39)</f>
        <v>13360.39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IFERROR(__xludf.DUMMYFUNCTION("IMPORTRANGE(""https://docs.google.com/spreadsheets/d/11923uPwbBZFjjGgGUA6NLw09EwE0CqkOc4q9oUmW1yo/edit?usp=sharing"",""ลำปาง!L350"")"),614899.5)</f>
        <v>614899.5</v>
      </c>
      <c r="M455" s="372"/>
      <c r="N455" s="372">
        <f ca="1">IFERROR(__xludf.DUMMYFUNCTION("IMPORTRANGE(""https://docs.google.com/spreadsheets/d/11923uPwbBZFjjGgGUA6NLw09EwE0CqkOc4q9oUmW1yo/edit?usp=sharing"",""ลำปาง!M350"")"),190440.04)</f>
        <v>190440.04</v>
      </c>
      <c r="O455" s="372">
        <f t="shared" ref="O455:O459" ca="1" si="116">+IF(L455&gt;0,N455*100/L455,0)</f>
        <v>30.970921264369217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IFERROR(__xludf.DUMMYFUNCTION("IMPORTRANGE(""https://docs.google.com/spreadsheets/d/11923uPwbBZFjjGgGUA6NLw09EwE0CqkOc4q9oUmW1yo/edit?usp=sharing"",""ลำปาง!L352"")"),614899.5)</f>
        <v>614899.5</v>
      </c>
      <c r="M457" s="165"/>
      <c r="N457" s="168">
        <f ca="1">IFERROR(__xludf.DUMMYFUNCTION("IMPORTRANGE(""https://docs.google.com/spreadsheets/d/11923uPwbBZFjjGgGUA6NLw09EwE0CqkOc4q9oUmW1yo/edit?usp=sharing"",""ลำปาง!M352"")"),190440.04)</f>
        <v>190440.04</v>
      </c>
      <c r="O457" s="168">
        <f t="shared" ca="1" si="116"/>
        <v>30.970921264369217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IFERROR(__xludf.DUMMYFUNCTION("IMPORTRANGE(""https://docs.google.com/spreadsheets/d/11923uPwbBZFjjGgGUA6NLw09EwE0CqkOc4q9oUmW1yo/edit?usp=sharing"",""ลำปาง!L354"")"),614899.5)</f>
        <v>614899.5</v>
      </c>
      <c r="M459" s="168"/>
      <c r="N459" s="168">
        <f ca="1">IFERROR(__xludf.DUMMYFUNCTION("IMPORTRANGE(""https://docs.google.com/spreadsheets/d/11923uPwbBZFjjGgGUA6NLw09EwE0CqkOc4q9oUmW1yo/edit?usp=sharing"",""ลำปาง!M354"")"),190440.04)</f>
        <v>190440.04</v>
      </c>
      <c r="O459" s="168">
        <f t="shared" ca="1" si="116"/>
        <v>30.970921264369217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IFERROR(__xludf.DUMMYFUNCTION("IMPORTRANGE(""https://docs.google.com/spreadsheets/d/11923uPwbBZFjjGgGUA6NLw09EwE0CqkOc4q9oUmW1yo/edit?usp=sharing"",""ลำปาง!M357"")"),52800.04)</f>
        <v>52800.04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IFERROR(__xludf.DUMMYFUNCTION("IMPORTRANGE(""https://docs.google.com/spreadsheets/d/11923uPwbBZFjjGgGUA6NLw09EwE0CqkOc4q9oUmW1yo/edit?usp=sharing"",""ลำปาง!M358"")"),137640)</f>
        <v>137640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IFERROR(__xludf.DUMMYFUNCTION("IMPORTRANGE(""https://docs.google.com/spreadsheets/d/11923uPwbBZFjjGgGUA6NLw09EwE0CqkOc4q9oUmW1yo/edit?usp=sharing"",""ลำปาง!I359"")"),44744)</f>
        <v>44744</v>
      </c>
      <c r="J464" s="266">
        <f ca="1">IFERROR(__xludf.DUMMYFUNCTION("IMPORTRANGE(""https://docs.google.com/spreadsheets/d/11923uPwbBZFjjGgGUA6NLw09EwE0CqkOc4q9oUmW1yo/edit?usp=sharing"",""ลำปาง!J359"")"),0)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IFERROR(__xludf.DUMMYFUNCTION("IMPORTRANGE(""https://docs.google.com/spreadsheets/d/11923uPwbBZFjjGgGUA6NLw09EwE0CqkOc4q9oUmW1yo/edit?usp=sharing"",""ลำปาง!J392"")"),730)</f>
        <v>730</v>
      </c>
      <c r="K497" s="444">
        <f t="shared" ca="1" si="117"/>
        <v>25.731406415227355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IFERROR(__xludf.DUMMYFUNCTION("IMPORTRANGE(""https://docs.google.com/spreadsheets/d/11923uPwbBZFjjGgGUA6NLw09EwE0CqkOc4q9oUmW1yo/edit?usp=sharing"",""ลำปาง!J393"")"),730)</f>
        <v>730</v>
      </c>
      <c r="K498" s="201">
        <f t="shared" ca="1" si="117"/>
        <v>25.731406415227355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IFERROR(__xludf.DUMMYFUNCTION("IMPORTRANGE(""https://docs.google.com/spreadsheets/d/11923uPwbBZFjjGgGUA6NLw09EwE0CqkOc4q9oUmW1yo/edit?usp=sharing"",""ลำปาง!J394"")"),97)</f>
        <v>97</v>
      </c>
      <c r="K499" s="201">
        <f t="shared" ca="1" si="117"/>
        <v>27.478753541076486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IFERROR(__xludf.DUMMYFUNCTION("IMPORTRANGE(""https://docs.google.com/spreadsheets/d/11923uPwbBZFjjGgGUA6NLw09EwE0CqkOc4q9oUmW1yo/edit?usp=sharing"",""ลำปาง!J395"")"),730)</f>
        <v>730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IFERROR(__xludf.DUMMYFUNCTION("IMPORTRANGE(""https://docs.google.com/spreadsheets/d/11923uPwbBZFjjGgGUA6NLw09EwE0CqkOc4q9oUmW1yo/edit?usp=sharing"",""ลำปาง!J396"")"),97)</f>
        <v>97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IFERROR(__xludf.DUMMYFUNCTION("IMPORTRANGE(""https://docs.google.com/spreadsheets/d/11923uPwbBZFjjGgGUA6NLw09EwE0CqkOc4q9oUmW1yo/edit?usp=sharing"",""ลำปาง!J397"")"),730)</f>
        <v>730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IFERROR(__xludf.DUMMYFUNCTION("IMPORTRANGE(""https://docs.google.com/spreadsheets/d/11923uPwbBZFjjGgGUA6NLw09EwE0CqkOc4q9oUmW1yo/edit?usp=sharing"",""ลำปาง!J398"")"),97)</f>
        <v>97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IFERROR(__xludf.DUMMYFUNCTION("IMPORTRANGE(""https://docs.google.com/spreadsheets/d/11923uPwbBZFjjGgGUA6NLw09EwE0CqkOc4q9oUmW1yo/edit?usp=sharing"",""ลำปาง!I411"")"),0)</f>
        <v>0</v>
      </c>
      <c r="J516" s="266">
        <f ca="1">IFERROR(__xludf.DUMMYFUNCTION("IMPORTRANGE(""https://docs.google.com/spreadsheets/d/11923uPwbBZFjjGgGUA6NLw09EwE0CqkOc4q9oUmW1yo/edit?usp=sharing"",""ลำปาง!J411"")"),0)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IFERROR(__xludf.DUMMYFUNCTION("IMPORTRANGE(""https://docs.google.com/spreadsheets/d/11923uPwbBZFjjGgGUA6NLw09EwE0CqkOc4q9oUmW1yo/edit?usp=sharing"",""ลำปาง!I412"")"),0)</f>
        <v>0</v>
      </c>
      <c r="J517" s="283">
        <f ca="1">IFERROR(__xludf.DUMMYFUNCTION("IMPORTRANGE(""https://docs.google.com/spreadsheets/d/11923uPwbBZFjjGgGUA6NLw09EwE0CqkOc4q9oUmW1yo/edit?usp=sharing"",""ลำปาง!J412"")"),0)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IFERROR(__xludf.DUMMYFUNCTION("IMPORTRANGE(""https://docs.google.com/spreadsheets/d/11923uPwbBZFjjGgGUA6NLw09EwE0CqkOc4q9oUmW1yo/edit?usp=sharing"",""ลำปาง!I413"")"),0)</f>
        <v>0</v>
      </c>
      <c r="J518" s="283">
        <f ca="1">IFERROR(__xludf.DUMMYFUNCTION("IMPORTRANGE(""https://docs.google.com/spreadsheets/d/11923uPwbBZFjjGgGUA6NLw09EwE0CqkOc4q9oUmW1yo/edit?usp=sharing"",""ลำปาง!J413"")"),0)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IFERROR(__xludf.DUMMYFUNCTION("IMPORTRANGE(""https://docs.google.com/spreadsheets/d/11923uPwbBZFjjGgGUA6NLw09EwE0CqkOc4q9oUmW1yo/edit?usp=sharing"",""ลำปาง!I420"")"),54)</f>
        <v>54</v>
      </c>
      <c r="J525" s="283">
        <f ca="1">IFERROR(__xludf.DUMMYFUNCTION("IMPORTRANGE(""https://docs.google.com/spreadsheets/d/11923uPwbBZFjjGgGUA6NLw09EwE0CqkOc4q9oUmW1yo/edit?usp=sharing"",""ลำปาง!J420"")"),0)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IFERROR(__xludf.DUMMYFUNCTION("IMPORTRANGE(""https://docs.google.com/spreadsheets/d/11923uPwbBZFjjGgGUA6NLw09EwE0CqkOc4q9oUmW1yo/edit?usp=sharing"",""ลำปาง!I421"")"),6)</f>
        <v>6</v>
      </c>
      <c r="J526" s="283">
        <f ca="1">IFERROR(__xludf.DUMMYFUNCTION("IMPORTRANGE(""https://docs.google.com/spreadsheets/d/11923uPwbBZFjjGgGUA6NLw09EwE0CqkOc4q9oUmW1yo/edit?usp=sharing"",""ลำปาง!J421"")"),0)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IFERROR(__xludf.DUMMYFUNCTION("IMPORTRANGE(""https://docs.google.com/spreadsheets/d/11923uPwbBZFjjGgGUA6NLw09EwE0CqkOc4q9oUmW1yo/edit?usp=sharing"",""ลำปาง!M428"")"),28015.2399999999)</f>
        <v>28015.2399999999</v>
      </c>
      <c r="O533" s="411">
        <f t="shared" ref="O533:O537" ca="1" si="118">+IF(L533&gt;0,N533*100/L533,0)</f>
        <v>81.581945253348565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IFERROR(__xludf.DUMMYFUNCTION("IMPORTRANGE(""https://docs.google.com/spreadsheets/d/11923uPwbBZFjjGgGUA6NLw09EwE0CqkOc4q9oUmW1yo/edit?usp=sharing"",""ลำปาง!M430"")"),28015.2399999999)</f>
        <v>28015.2399999999</v>
      </c>
      <c r="O535" s="168">
        <f t="shared" ca="1" si="118"/>
        <v>81.581945253348565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IFERROR(__xludf.DUMMYFUNCTION("IMPORTRANGE(""https://docs.google.com/spreadsheets/d/11923uPwbBZFjjGgGUA6NLw09EwE0CqkOc4q9oUmW1yo/edit?usp=sharing"",""ลำปาง!M432"")"),28015.2399999999)</f>
        <v>28015.2399999999</v>
      </c>
      <c r="O537" s="168">
        <f t="shared" ca="1" si="118"/>
        <v>81.581945253348565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IFERROR(__xludf.DUMMYFUNCTION("IMPORTRANGE(""https://docs.google.com/spreadsheets/d/11923uPwbBZFjjGgGUA6NLw09EwE0CqkOc4q9oUmW1yo/edit?usp=sharing"",""ลำปาง!M436"")"),9275.24)</f>
        <v>9275.24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IFERROR(__xludf.DUMMYFUNCTION("IMPORTRANGE(""https://docs.google.com/spreadsheets/d/11923uPwbBZFjjGgGUA6NLw09EwE0CqkOc4q9oUmW1yo/edit?usp=sharing"",""ลำปาง!J446"")"),905)</f>
        <v>905</v>
      </c>
      <c r="K551" s="410">
        <f ca="1">IF(I551&gt;0,J551*100/I551,0)</f>
        <v>30.166666666666668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IFERROR(__xludf.DUMMYFUNCTION("IMPORTRANGE(""https://docs.google.com/spreadsheets/d/11923uPwbBZFjjGgGUA6NLw09EwE0CqkOc4q9oUmW1yo/edit?usp=sharing"",""ลำปาง!M446"")"),49714.68)</f>
        <v>49714.68</v>
      </c>
      <c r="O551" s="411">
        <f t="shared" ref="O551:O555" ca="1" si="120">+IF(L551&gt;0,N551*100/L551,0)</f>
        <v>26.443978723404257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IFERROR(__xludf.DUMMYFUNCTION("IMPORTRANGE(""https://docs.google.com/spreadsheets/d/11923uPwbBZFjjGgGUA6NLw09EwE0CqkOc4q9oUmW1yo/edit?usp=sharing"",""ลำปาง!M448"")"),49714.68)</f>
        <v>49714.68</v>
      </c>
      <c r="O553" s="168">
        <f t="shared" ca="1" si="120"/>
        <v>26.443978723404257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IFERROR(__xludf.DUMMYFUNCTION("IMPORTRANGE(""https://docs.google.com/spreadsheets/d/11923uPwbBZFjjGgGUA6NLw09EwE0CqkOc4q9oUmW1yo/edit?usp=sharing"",""ลำปาง!M450"")"),49714.68)</f>
        <v>49714.68</v>
      </c>
      <c r="O555" s="168">
        <f t="shared" ca="1" si="120"/>
        <v>26.443978723404257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IFERROR(__xludf.DUMMYFUNCTION("IMPORTRANGE(""https://docs.google.com/spreadsheets/d/11923uPwbBZFjjGgGUA6NLw09EwE0CqkOc4q9oUmW1yo/edit?usp=sharing"",""ลำปาง!M453"")"),16695)</f>
        <v>16695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IFERROR(__xludf.DUMMYFUNCTION("IMPORTRANGE(""https://docs.google.com/spreadsheets/d/11923uPwbBZFjjGgGUA6NLw09EwE0CqkOc4q9oUmW1yo/edit?usp=sharing"",""ลำปาง!M454"")"),33019.68)</f>
        <v>33019.68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IFERROR(__xludf.DUMMYFUNCTION("IMPORTRANGE(""https://docs.google.com/spreadsheets/d/11923uPwbBZFjjGgGUA6NLw09EwE0CqkOc4q9oUmW1yo/edit?usp=sharing"",""ลำปาง!J455"")"),905)</f>
        <v>905</v>
      </c>
      <c r="K560" s="223">
        <f t="shared" ref="K560:K561" ca="1" si="121">IF(I560&gt;0,J560*100/I560,0)</f>
        <v>30.166666666666668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IFERROR(__xludf.DUMMYFUNCTION("IMPORTRANGE(""https://docs.google.com/spreadsheets/d/11923uPwbBZFjjGgGUA6NLw09EwE0CqkOc4q9oUmW1yo/edit?usp=sharing"",""ลำปาง!J456"")"),107)</f>
        <v>107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IFERROR(__xludf.DUMMYFUNCTION("IMPORTRANGE(""https://docs.google.com/spreadsheets/d/11923uPwbBZFjjGgGUA6NLw09EwE0CqkOc4q9oUmW1yo/edit?usp=sharing"",""ลำปาง!J459"")"),1464)</f>
        <v>1464</v>
      </c>
      <c r="K564" s="371">
        <f ca="1">IF(I564&gt;0,J564*100/I564,0)</f>
        <v>81.333333333333329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IFERROR(__xludf.DUMMYFUNCTION("IMPORTRANGE(""https://docs.google.com/spreadsheets/d/11923uPwbBZFjjGgGUA6NLw09EwE0CqkOc4q9oUmW1yo/edit?usp=sharing"",""ลำปาง!M459"")"),60786.68)</f>
        <v>60786.68</v>
      </c>
      <c r="O564" s="372">
        <f t="shared" ref="O564:O568" ca="1" si="122">+IF(L564&gt;0,N564*100/L564,0)</f>
        <v>41.910286817429672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IFERROR(__xludf.DUMMYFUNCTION("IMPORTRANGE(""https://docs.google.com/spreadsheets/d/11923uPwbBZFjjGgGUA6NLw09EwE0CqkOc4q9oUmW1yo/edit?usp=sharing"",""ลำปาง!M461"")"),60786.68)</f>
        <v>60786.68</v>
      </c>
      <c r="O566" s="168">
        <f t="shared" ca="1" si="122"/>
        <v>41.910286817429672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IFERROR(__xludf.DUMMYFUNCTION("IMPORTRANGE(""https://docs.google.com/spreadsheets/d/11923uPwbBZFjjGgGUA6NLw09EwE0CqkOc4q9oUmW1yo/edit?usp=sharing"",""ลำปาง!M463"")"),60786.68)</f>
        <v>60786.68</v>
      </c>
      <c r="O568" s="168">
        <f t="shared" ca="1" si="122"/>
        <v>41.910286817429672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IFERROR(__xludf.DUMMYFUNCTION("IMPORTRANGE(""https://docs.google.com/spreadsheets/d/11923uPwbBZFjjGgGUA6NLw09EwE0CqkOc4q9oUmW1yo/edit?usp=sharing"",""ลำปาง!M466"")"),32266.68)</f>
        <v>32266.68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IFERROR(__xludf.DUMMYFUNCTION("IMPORTRANGE(""https://docs.google.com/spreadsheets/d/11923uPwbBZFjjGgGUA6NLw09EwE0CqkOc4q9oUmW1yo/edit?usp=sharing"",""ลำปาง!M467"")"),28520)</f>
        <v>28520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IFERROR(__xludf.DUMMYFUNCTION("IMPORTRANGE(""https://docs.google.com/spreadsheets/d/11923uPwbBZFjjGgGUA6NLw09EwE0CqkOc4q9oUmW1yo/edit?usp=sharing"",""ลำปาง!J468"")"),1464)</f>
        <v>1464</v>
      </c>
      <c r="K573" s="201">
        <f ca="1">IF(I573&gt;0,J573*100/I573,0)</f>
        <v>81.333333333333329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IFERROR(__xludf.DUMMYFUNCTION("IMPORTRANGE(""https://docs.google.com/spreadsheets/d/11923uPwbBZFjjGgGUA6NLw09EwE0CqkOc4q9oUmW1yo/edit?usp=sharing"",""ลำปาง!J471"")"),171)</f>
        <v>171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IFERROR(__xludf.DUMMYFUNCTION("IMPORTRANGE(""https://docs.google.com/spreadsheets/d/11923uPwbBZFjjGgGUA6NLw09EwE0CqkOc4q9oUmW1yo/edit?usp=sharing"",""ลำปาง!J472"")"),1293)</f>
        <v>1293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IFERROR(__xludf.DUMMYFUNCTION("IMPORTRANGE(""https://docs.google.com/spreadsheets/d/11923uPwbBZFjjGgGUA6NLw09EwE0CqkOc4q9oUmW1yo/edit?usp=sharing"",""ลำปาง!J475"")"),4)</f>
        <v>4</v>
      </c>
      <c r="K580" s="371">
        <f ca="1">IF(I580&gt;0,J580*100/I580,0)</f>
        <v>80</v>
      </c>
      <c r="L580" s="372">
        <f ca="1">IFERROR(__xludf.DUMMYFUNCTION("IMPORTRANGE(""https://docs.google.com/spreadsheets/d/11923uPwbBZFjjGgGUA6NLw09EwE0CqkOc4q9oUmW1yo/edit?usp=sharing"",""ลำปาง!L475"")"),130655)</f>
        <v>130655</v>
      </c>
      <c r="M580" s="372"/>
      <c r="N580" s="372">
        <f ca="1">IFERROR(__xludf.DUMMYFUNCTION("IMPORTRANGE(""https://docs.google.com/spreadsheets/d/11923uPwbBZFjjGgGUA6NLw09EwE0CqkOc4q9oUmW1yo/edit?usp=sharing"",""ลำปาง!M475"")"),0)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IFERROR(__xludf.DUMMYFUNCTION("IMPORTRANGE(""https://docs.google.com/spreadsheets/d/11923uPwbBZFjjGgGUA6NLw09EwE0CqkOc4q9oUmW1yo/edit?usp=sharing"",""ลำปาง!L477"")"),130655)</f>
        <v>130655</v>
      </c>
      <c r="M582" s="165"/>
      <c r="N582" s="168">
        <f ca="1">IFERROR(__xludf.DUMMYFUNCTION("IMPORTRANGE(""https://docs.google.com/spreadsheets/d/11923uPwbBZFjjGgGUA6NLw09EwE0CqkOc4q9oUmW1yo/edit?usp=sharing"",""ลำปาง!M477"")"),0)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IFERROR(__xludf.DUMMYFUNCTION("IMPORTRANGE(""https://docs.google.com/spreadsheets/d/11923uPwbBZFjjGgGUA6NLw09EwE0CqkOc4q9oUmW1yo/edit?usp=sharing"",""ลำปาง!L479"")"),130655)</f>
        <v>130655</v>
      </c>
      <c r="M584" s="168"/>
      <c r="N584" s="168">
        <f ca="1">IFERROR(__xludf.DUMMYFUNCTION("IMPORTRANGE(""https://docs.google.com/spreadsheets/d/11923uPwbBZFjjGgGUA6NLw09EwE0CqkOc4q9oUmW1yo/edit?usp=sharing"",""ลำปาง!M479"")"),0)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IFERROR(__xludf.DUMMYFUNCTION("IMPORTRANGE(""https://docs.google.com/spreadsheets/d/11923uPwbBZFjjGgGUA6NLw09EwE0CqkOc4q9oUmW1yo/edit?usp=sharing"",""ลำปาง!J486"")"),5)</f>
        <v>5</v>
      </c>
      <c r="K591" s="163">
        <f t="shared" ca="1" si="125"/>
        <v>100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IFERROR(__xludf.DUMMYFUNCTION("IMPORTRANGE(""https://docs.google.com/spreadsheets/d/11923uPwbBZFjjGgGUA6NLw09EwE0CqkOc4q9oUmW1yo/edit?usp=sharing"",""ลำปาง!J487"")"),4.73)</f>
        <v>4.7300000000000004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IFERROR(__xludf.DUMMYFUNCTION("IMPORTRANGE(""https://docs.google.com/spreadsheets/d/11923uPwbBZFjjGgGUA6NLw09EwE0CqkOc4q9oUmW1yo/edit?usp=sharing"",""ลำปาง!I491"")"),0)</f>
        <v>0</v>
      </c>
      <c r="J596" s="240">
        <f ca="1">IFERROR(__xludf.DUMMYFUNCTION("IMPORTRANGE(""https://docs.google.com/spreadsheets/d/11923uPwbBZFjjGgGUA6NLw09EwE0CqkOc4q9oUmW1yo/edit?usp=sharing"",""ลำปาง!J491"")"),3.23)</f>
        <v>3.23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7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IFERROR(__xludf.DUMMYFUNCTION("IMPORTRANGE(""https://docs.google.com/spreadsheets/d/11923uPwbBZFjjGgGUA6NLw09EwE0CqkOc4q9oUmW1yo/edit?usp=sharing"",""ลำปาง!L492"")"),8900)</f>
        <v>8900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38.202247191011239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0">
        <f ca="1">IFERROR(__xludf.DUMMYFUNCTION("IMPORTRANGE(""https://docs.google.com/spreadsheets/d/11923uPwbBZFjjGgGUA6NLw09EwE0CqkOc4q9oUmW1yo/edit?usp=sharing"",""ลำปาง!J523"")"),5062671.25)</f>
        <v>5062671.25</v>
      </c>
      <c r="K628" s="341">
        <f t="shared" ref="K628:K635" ca="1" si="129">IF(I628&gt;0,J628*100/I628,0)</f>
        <v>62.964018783459821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IFERROR(__xludf.DUMMYFUNCTION("IMPORTRANGE(""https://docs.google.com/spreadsheets/d/11923uPwbBZFjjGgGUA6NLw09EwE0CqkOc4q9oUmW1yo/edit?usp=sharing"",""ลำปาง!I524"")"),318)</f>
        <v>318</v>
      </c>
      <c r="J629" s="340">
        <f ca="1">IFERROR(__xludf.DUMMYFUNCTION("IMPORTRANGE(""https://docs.google.com/spreadsheets/d/11923uPwbBZFjjGgGUA6NLw09EwE0CqkOc4q9oUmW1yo/edit?usp=sharing"",""ลำปาง!J524"")"),176)</f>
        <v>176</v>
      </c>
      <c r="K629" s="341">
        <f t="shared" ca="1" si="129"/>
        <v>55.345911949685537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IFERROR(__xludf.DUMMYFUNCTION("IMPORTRANGE(""https://docs.google.com/spreadsheets/d/11923uPwbBZFjjGgGUA6NLw09EwE0CqkOc4q9oUmW1yo/edit?usp=sharing"",""ลำปาง!I525"")"),17310.57)</f>
        <v>17310.57</v>
      </c>
      <c r="J630" s="340">
        <f ca="1">IFERROR(__xludf.DUMMYFUNCTION("IMPORTRANGE(""https://docs.google.com/spreadsheets/d/11923uPwbBZFjjGgGUA6NLw09EwE0CqkOc4q9oUmW1yo/edit?usp=sharing"",""ลำปาง!J525"")"),1751.33)</f>
        <v>1751.33</v>
      </c>
      <c r="K630" s="341">
        <f t="shared" ca="1" si="129"/>
        <v>10.117113416831451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IFERROR(__xludf.DUMMYFUNCTION("IMPORTRANGE(""https://docs.google.com/spreadsheets/d/11923uPwbBZFjjGgGUA6NLw09EwE0CqkOc4q9oUmW1yo/edit?usp=sharing"",""ลำปาง!I526"")"),1)</f>
        <v>1</v>
      </c>
      <c r="J631" s="340">
        <f ca="1">IFERROR(__xludf.DUMMYFUNCTION("IMPORTRANGE(""https://docs.google.com/spreadsheets/d/11923uPwbBZFjjGgGUA6NLw09EwE0CqkOc4q9oUmW1yo/edit?usp=sharing"",""ลำปาง!J526"")"),1)</f>
        <v>1</v>
      </c>
      <c r="K631" s="341">
        <f t="shared" ca="1" si="129"/>
        <v>100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IFERROR(__xludf.DUMMYFUNCTION("IMPORTRANGE(""https://docs.google.com/spreadsheets/d/11923uPwbBZFjjGgGUA6NLw09EwE0CqkOc4q9oUmW1yo/edit?usp=sharing"",""ลำปาง!I527"")"),0)</f>
        <v>0</v>
      </c>
      <c r="J632" s="340">
        <f ca="1">IFERROR(__xludf.DUMMYFUNCTION("IMPORTRANGE(""https://docs.google.com/spreadsheets/d/11923uPwbBZFjjGgGUA6NLw09EwE0CqkOc4q9oUmW1yo/edit?usp=sharing"",""ลำปาง!J527"")"),0)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IFERROR(__xludf.DUMMYFUNCTION("IMPORTRANGE(""https://docs.google.com/spreadsheets/d/11923uPwbBZFjjGgGUA6NLw09EwE0CqkOc4q9oUmW1yo/edit?usp=sharing"",""ลำปาง!I528"")"),0)</f>
        <v>0</v>
      </c>
      <c r="J633" s="340">
        <f ca="1">IFERROR(__xludf.DUMMYFUNCTION("IMPORTRANGE(""https://docs.google.com/spreadsheets/d/11923uPwbBZFjjGgGUA6NLw09EwE0CqkOc4q9oUmW1yo/edit?usp=sharing"",""ลำปาง!J528"")"),0)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IFERROR(__xludf.DUMMYFUNCTION("IMPORTRANGE(""https://docs.google.com/spreadsheets/d/11923uPwbBZFjjGgGUA6NLw09EwE0CqkOc4q9oUmW1yo/edit?usp=sharing"",""ลำปาง!I529"")"),6665000)</f>
        <v>6665000</v>
      </c>
      <c r="J634" s="340">
        <f ca="1">IFERROR(__xludf.DUMMYFUNCTION("IMPORTRANGE(""https://docs.google.com/spreadsheets/d/11923uPwbBZFjjGgGUA6NLw09EwE0CqkOc4q9oUmW1yo/edit?usp=sharing"",""ลำปาง!J529"")"),3860000)</f>
        <v>3860000</v>
      </c>
      <c r="K634" s="341">
        <f t="shared" ca="1" si="129"/>
        <v>57.914478619654915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IFERROR(__xludf.DUMMYFUNCTION("IMPORTRANGE(""https://docs.google.com/spreadsheets/d/11923uPwbBZFjjGgGUA6NLw09EwE0CqkOc4q9oUmW1yo/edit?usp=sharing"",""ลำปาง!I530"")"),173)</f>
        <v>173</v>
      </c>
      <c r="J635" s="504">
        <f ca="1">IFERROR(__xludf.DUMMYFUNCTION("IMPORTRANGE(""https://docs.google.com/spreadsheets/d/11923uPwbBZFjjGgGUA6NLw09EwE0CqkOc4q9oUmW1yo/edit?usp=sharing"",""ลำปาง!J530"")"),121)</f>
        <v>121</v>
      </c>
      <c r="K635" s="486">
        <f t="shared" ca="1" si="129"/>
        <v>69.942196531791907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264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6602354.6600000001</v>
      </c>
      <c r="M8" s="23">
        <f t="shared" ca="1" si="0"/>
        <v>3367270</v>
      </c>
      <c r="N8" s="23">
        <f t="shared" ca="1" si="0"/>
        <v>3531694.7800000003</v>
      </c>
      <c r="O8" s="22">
        <f t="shared" ref="O8:O16" ca="1" si="1">IF(L8&gt;0,N8*100/L8,0)</f>
        <v>53.491443005880569</v>
      </c>
      <c r="P8" s="22">
        <f t="shared" ref="P8:P16" ca="1" si="2">IF(M8&gt;0,N8*100/M8,0)</f>
        <v>104.88302927891141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6602354.6600000001</v>
      </c>
      <c r="M10" s="30">
        <f t="shared" ca="1" si="4"/>
        <v>3367270</v>
      </c>
      <c r="N10" s="30">
        <f t="shared" ca="1" si="4"/>
        <v>3531694.7800000003</v>
      </c>
      <c r="O10" s="29">
        <f t="shared" ca="1" si="1"/>
        <v>53.491443005880569</v>
      </c>
      <c r="P10" s="29">
        <f t="shared" ca="1" si="2"/>
        <v>104.88302927891141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6352954.6600000001</v>
      </c>
      <c r="M12" s="39">
        <f t="shared" ca="1" si="6"/>
        <v>3117870</v>
      </c>
      <c r="N12" s="39">
        <f t="shared" ca="1" si="6"/>
        <v>3282294.7800000003</v>
      </c>
      <c r="O12" s="39">
        <f t="shared" ca="1" si="1"/>
        <v>51.665641511126417</v>
      </c>
      <c r="P12" s="39">
        <f t="shared" ca="1" si="2"/>
        <v>105.27362526340097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2233700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4119254.66</v>
      </c>
      <c r="M14" s="39">
        <f t="shared" si="8"/>
        <v>0</v>
      </c>
      <c r="N14" s="39">
        <f t="shared" ca="1" si="8"/>
        <v>873658</v>
      </c>
      <c r="O14" s="39">
        <f t="shared" ca="1" si="1"/>
        <v>21.209128158150822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4195545</v>
      </c>
      <c r="M18" s="23">
        <f t="shared" ca="1" si="11"/>
        <v>3367270</v>
      </c>
      <c r="N18" s="23">
        <f t="shared" ca="1" si="11"/>
        <v>2658036.7800000003</v>
      </c>
      <c r="O18" s="22">
        <f t="shared" ref="O18:O20" ca="1" si="12">IF(L18&gt;0,N18*100/L18,0)</f>
        <v>63.353790270393958</v>
      </c>
      <c r="P18" s="22">
        <f t="shared" ref="P18:P26" ca="1" si="13">IF(M18&gt;0,N18*100/M18,0)</f>
        <v>78.937441310022663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4195545</v>
      </c>
      <c r="M20" s="30">
        <f t="shared" ca="1" si="15"/>
        <v>3367270</v>
      </c>
      <c r="N20" s="30">
        <f t="shared" ca="1" si="15"/>
        <v>2658036.7800000003</v>
      </c>
      <c r="O20" s="29">
        <f t="shared" ca="1" si="12"/>
        <v>63.353790270393958</v>
      </c>
      <c r="P20" s="29">
        <f t="shared" ca="1" si="13"/>
        <v>78.937441310022663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3946145</v>
      </c>
      <c r="M22" s="42">
        <f t="shared" ca="1" si="18"/>
        <v>3117870</v>
      </c>
      <c r="N22" s="39">
        <f t="shared" ca="1" si="18"/>
        <v>2408636.7800000003</v>
      </c>
      <c r="O22" s="39">
        <f t="shared" ca="1" si="17"/>
        <v>61.03771604946094</v>
      </c>
      <c r="P22" s="39">
        <f t="shared" ca="1" si="13"/>
        <v>77.252636575610921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2233700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1712445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2406809.66</v>
      </c>
      <c r="M28" s="23">
        <f t="shared" si="23"/>
        <v>0</v>
      </c>
      <c r="N28" s="23">
        <f t="shared" ca="1" si="23"/>
        <v>873658</v>
      </c>
      <c r="O28" s="22">
        <f t="shared" ref="O28:O30" ca="1" si="24">IF(L28&gt;0,N28*100/L28,0)</f>
        <v>36.299422198596289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2406809.66</v>
      </c>
      <c r="M30" s="30">
        <f t="shared" si="27"/>
        <v>0</v>
      </c>
      <c r="N30" s="30">
        <f t="shared" ca="1" si="27"/>
        <v>873658</v>
      </c>
      <c r="O30" s="29">
        <f t="shared" ca="1" si="24"/>
        <v>36.299422198596289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2406809.66</v>
      </c>
      <c r="M32" s="39">
        <f t="shared" si="30"/>
        <v>0</v>
      </c>
      <c r="N32" s="39">
        <f t="shared" ca="1" si="30"/>
        <v>873658</v>
      </c>
      <c r="O32" s="39">
        <f t="shared" ca="1" si="29"/>
        <v>36.299422198596289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2406809.66</v>
      </c>
      <c r="M34" s="39">
        <f t="shared" si="32"/>
        <v>0</v>
      </c>
      <c r="N34" s="39">
        <f t="shared" ca="1" si="32"/>
        <v>873658</v>
      </c>
      <c r="O34" s="39">
        <f t="shared" ca="1" si="29"/>
        <v>36.299422198596289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4195545</v>
      </c>
      <c r="M37" s="55">
        <f t="shared" ca="1" si="33"/>
        <v>3367270</v>
      </c>
      <c r="N37" s="55">
        <f t="shared" ca="1" si="33"/>
        <v>2658036.7800000003</v>
      </c>
      <c r="O37" s="56">
        <f t="shared" ca="1" si="29"/>
        <v>63.353790270393958</v>
      </c>
      <c r="P37" s="56">
        <f t="shared" ca="1" si="25"/>
        <v>78.937441310022663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569000</v>
      </c>
      <c r="N41" s="79">
        <f t="shared" ca="1" si="34"/>
        <v>647324.88</v>
      </c>
      <c r="O41" s="78">
        <f t="shared" ref="O41:O43" ca="1" si="35">IF(L41&gt;0,N41*100/L41,0)</f>
        <v>85.32026888098062</v>
      </c>
      <c r="P41" s="78">
        <f t="shared" ref="P41:P43" ca="1" si="36">IF(M41&gt;0,N41*100/M41,0)</f>
        <v>113.76535676625659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569000</v>
      </c>
      <c r="N43" s="79">
        <f t="shared" ca="1" si="38"/>
        <v>647324.88</v>
      </c>
      <c r="O43" s="78">
        <f t="shared" ca="1" si="35"/>
        <v>85.32026888098062</v>
      </c>
      <c r="P43" s="78">
        <f t="shared" ca="1" si="36"/>
        <v>113.76535676625659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IFERROR(__xludf.DUMMYFUNCTION("IMPORTRANGE(""https://docs.google.com/spreadsheets/d/1Yj_ptqi66GCucihVvJfMjLAmec39IyEx_6qawtMGysU/edit?usp=sharing"",""สบก!Q33"")"),569000)</f>
        <v>569000</v>
      </c>
      <c r="N45" s="50">
        <f ca="1">IFERROR(__xludf.DUMMYFUNCTION("IMPORTRANGE(""https://docs.google.com/spreadsheets/d/1Yj_ptqi66GCucihVvJfMjLAmec39IyEx_6qawtMGysU/edit?usp=sharing"",""สบก!R33"")"),647324.88)</f>
        <v>647324.88</v>
      </c>
      <c r="O45" s="39">
        <f ca="1">IF(L45&gt;0,N45*100/L45,0)</f>
        <v>85.32026888098062</v>
      </c>
      <c r="P45" s="39">
        <f ca="1">IF(M45&gt;0,N45*100/M45,0)</f>
        <v>113.76535676625659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486050</v>
      </c>
      <c r="N53" s="121">
        <f t="shared" ca="1" si="39"/>
        <v>345531.25</v>
      </c>
      <c r="O53" s="120">
        <f t="shared" ref="O53:O55" ca="1" si="40">IF(L53&gt;0,N53*100/L53,0)</f>
        <v>57.588541666666664</v>
      </c>
      <c r="P53" s="120">
        <f t="shared" ref="P53:P55" ca="1" si="41">IF(M53&gt;0,N53*100/M53,0)</f>
        <v>71.08965127044543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486050</v>
      </c>
      <c r="N55" s="121">
        <f t="shared" ca="1" si="43"/>
        <v>345531.25</v>
      </c>
      <c r="O55" s="120">
        <f t="shared" ca="1" si="40"/>
        <v>57.588541666666664</v>
      </c>
      <c r="P55" s="120">
        <f t="shared" ca="1" si="41"/>
        <v>71.08965127044543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600000</v>
      </c>
      <c r="M57" s="50">
        <f ca="1">IFERROR(__xludf.DUMMYFUNCTION("IMPORTRANGE(""https://docs.google.com/spreadsheets/d/1Yj_ptqi66GCucihVvJfMjLAmec39IyEx_6qawtMGysU/edit?usp=sharing"",""สบก!Z33"")"),486050)</f>
        <v>486050</v>
      </c>
      <c r="N57" s="50">
        <f ca="1">IFERROR(__xludf.DUMMYFUNCTION("IMPORTRANGE(""https://docs.google.com/spreadsheets/d/1Yj_ptqi66GCucihVvJfMjLAmec39IyEx_6qawtMGysU/edit?usp=sharing"",""สบก!AA33"")"),345531.25)</f>
        <v>345531.25</v>
      </c>
      <c r="O57" s="39">
        <f ca="1">IF(L57&gt;0,N57*100/L57,0)</f>
        <v>57.588541666666664</v>
      </c>
      <c r="P57" s="39">
        <f ca="1">IF(M57&gt;0,N57*100/M57,0)</f>
        <v>71.08965127044543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IFERROR(__xludf.DUMMYFUNCTION("IMPORTRANGE(""https://docs.google.com/spreadsheets/d/1Yj_ptqi66GCucihVvJfMjLAmec39IyEx_6qawtMGysU/edit?usp=sharing"",""สบก!V33"")"),600000)</f>
        <v>600000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591400</v>
      </c>
      <c r="M66" s="152">
        <f t="shared" ca="1" si="45"/>
        <v>480720</v>
      </c>
      <c r="N66" s="152">
        <f t="shared" ca="1" si="45"/>
        <v>345094.89</v>
      </c>
      <c r="O66" s="151">
        <f t="shared" ref="O66:O68" ca="1" si="46">IF(L66&gt;0,N66*100/L66,0)</f>
        <v>58.352196482921883</v>
      </c>
      <c r="P66" s="151">
        <f t="shared" ref="P66:P68" ca="1" si="47">IF(M66&gt;0,N66*100/M66,0)</f>
        <v>71.787088117823259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591400</v>
      </c>
      <c r="M68" s="88">
        <f t="shared" ca="1" si="49"/>
        <v>480720</v>
      </c>
      <c r="N68" s="88">
        <f t="shared" ca="1" si="49"/>
        <v>345094.89</v>
      </c>
      <c r="O68" s="156">
        <f t="shared" ca="1" si="46"/>
        <v>58.352196482921883</v>
      </c>
      <c r="P68" s="156">
        <f t="shared" ca="1" si="47"/>
        <v>71.787088117823259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IFERROR(__xludf.DUMMYFUNCTION("IMPORTRANGE(""https://docs.google.com/spreadsheets/d/1Yj_ptqi66GCucihVvJfMjLAmec39IyEx_6qawtMGysU/edit?usp=sharing"",""สบก!AI33"")"),480720)</f>
        <v>480720</v>
      </c>
      <c r="N70" s="168">
        <f ca="1">IFERROR(__xludf.DUMMYFUNCTION("IMPORTRANGE(""https://docs.google.com/spreadsheets/d/1Yj_ptqi66GCucihVvJfMjLAmec39IyEx_6qawtMGysU/edit?usp=sharing"",""สบก!AJ33"")"),345094.89)</f>
        <v>345094.89</v>
      </c>
      <c r="O70" s="168">
        <f ca="1">IF(L70&gt;0,N70*100/L70,0)</f>
        <v>58.352196482921883</v>
      </c>
      <c r="P70" s="168">
        <f ca="1">IF(M70&gt;0,N70*100/M70,0)</f>
        <v>71.787088117823259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IFERROR(__xludf.DUMMYFUNCTION("IMPORTRANGE(""https://docs.google.com/spreadsheets/d/11923uPwbBZFjjGgGUA6NLw09EwE0CqkOc4q9oUmW1yo/edit?usp=sharing"",""ลำพูน!I28"")"),35)</f>
        <v>35</v>
      </c>
      <c r="J88" s="203">
        <f ca="1">IFERROR(__xludf.DUMMYFUNCTION("IMPORTRANGE(""https://docs.google.com/spreadsheets/d/11923uPwbBZFjjGgGUA6NLw09EwE0CqkOc4q9oUmW1yo/edit?usp=sharing"",""ลำพูน!J28"")"),0)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IFERROR(__xludf.DUMMYFUNCTION("IMPORTRANGE(""https://docs.google.com/spreadsheets/d/11923uPwbBZFjjGgGUA6NLw09EwE0CqkOc4q9oUmW1yo/edit?usp=sharing"",""ลำพูน!J50"")"),0)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57380</v>
      </c>
      <c r="O118" s="151">
        <f t="shared" ref="O118:O120" ca="1" si="59">IF(L118&gt;0,N118*100/L118,0)</f>
        <v>69.602134885977677</v>
      </c>
      <c r="P118" s="151">
        <f t="shared" ref="P118:P120" ca="1" si="60">IF(M118&gt;0,N118*100/M118,0)</f>
        <v>69.602134885977677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57380</v>
      </c>
      <c r="O120" s="156">
        <f t="shared" ca="1" si="59"/>
        <v>69.602134885977677</v>
      </c>
      <c r="P120" s="156">
        <f t="shared" ca="1" si="60"/>
        <v>69.602134885977677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IFERROR(__xludf.DUMMYFUNCTION("IMPORTRANGE(""https://docs.google.com/spreadsheets/d/1Yj_ptqi66GCucihVvJfMjLAmec39IyEx_6qawtMGysU/edit?usp=sharing"",""สบก!BB33"")"),57380)</f>
        <v>57380</v>
      </c>
      <c r="O122" s="168">
        <f ca="1">IF(L122&gt;0,N122*100/L122,0)</f>
        <v>69.602134885977677</v>
      </c>
      <c r="P122" s="168">
        <f ca="1">IF(M122&gt;0,N122*100/M122,0)</f>
        <v>69.602134885977677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265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IFERROR(__xludf.DUMMYFUNCTION("IMPORTRANGE(""https://docs.google.com/spreadsheets/d/11923uPwbBZFjjGgGUA6NLw09EwE0CqkOc4q9oUmW1yo/edit?usp=sharing"",""ลำพูน!J65"")"),0)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IFERROR(__xludf.DUMMYFUNCTION("IMPORTRANGE(""https://docs.google.com/spreadsheets/d/11923uPwbBZFjjGgGUA6NLw09EwE0CqkOc4q9oUmW1yo/edit?usp=sharing"",""ลำพูน!I68"")"),150)</f>
        <v>150</v>
      </c>
      <c r="J138" s="266">
        <f ca="1">IFERROR(__xludf.DUMMYFUNCTION("IMPORTRANGE(""https://docs.google.com/spreadsheets/d/11923uPwbBZFjjGgGUA6NLw09EwE0CqkOc4q9oUmW1yo/edit?usp=sharing"",""ลำพูน!J68"")"),150)</f>
        <v>150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1352900</v>
      </c>
      <c r="M140" s="152">
        <f t="shared" ca="1" si="64"/>
        <v>1130925</v>
      </c>
      <c r="N140" s="152">
        <f t="shared" ca="1" si="64"/>
        <v>851033.76</v>
      </c>
      <c r="O140" s="151">
        <f t="shared" ref="O140:O142" ca="1" si="65">IF(L140&gt;0,N140*100/L140,0)</f>
        <v>62.904409786384804</v>
      </c>
      <c r="P140" s="151">
        <f t="shared" ref="P140:P142" ca="1" si="66">IF(M140&gt;0,N140*100/M140,0)</f>
        <v>75.251122753498237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1352900</v>
      </c>
      <c r="M142" s="88">
        <f t="shared" ca="1" si="68"/>
        <v>1130925</v>
      </c>
      <c r="N142" s="88">
        <f t="shared" ca="1" si="68"/>
        <v>851033.76</v>
      </c>
      <c r="O142" s="156">
        <f t="shared" ca="1" si="65"/>
        <v>62.904409786384804</v>
      </c>
      <c r="P142" s="156">
        <f t="shared" ca="1" si="66"/>
        <v>75.251122753498237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1114900</v>
      </c>
      <c r="M144" s="167">
        <f ca="1">IFERROR(__xludf.DUMMYFUNCTION("IMPORTRANGE(""https://docs.google.com/spreadsheets/d/1Yj_ptqi66GCucihVvJfMjLAmec39IyEx_6qawtMGysU/edit?usp=sharing"",""สบก!BJ33"")"),892925)</f>
        <v>892925</v>
      </c>
      <c r="N144" s="168">
        <f ca="1">IFERROR(__xludf.DUMMYFUNCTION("IMPORTRANGE(""https://docs.google.com/spreadsheets/d/1Yj_ptqi66GCucihVvJfMjLAmec39IyEx_6qawtMGysU/edit?usp=sharing"",""สบก!BK33"")"),613033.76)</f>
        <v>613033.76</v>
      </c>
      <c r="O144" s="168">
        <f ca="1">IF(L144&gt;0,N144*100/L144,0)</f>
        <v>54.985537716387121</v>
      </c>
      <c r="P144" s="168">
        <f ca="1">IF(M144&gt;0,N144*100/M144,0)</f>
        <v>68.654563373183635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IFERROR(__xludf.DUMMYFUNCTION("IMPORTRANGE(""https://docs.google.com/spreadsheets/d/1Yj_ptqi66GCucihVvJfMjLAmec39IyEx_6qawtMGysU/edit?usp=sharing"",""สบก!BG33"")"),850900)</f>
        <v>850900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IFERROR(__xludf.DUMMYFUNCTION("IMPORTRANGE(""https://docs.google.com/spreadsheets/d/11923uPwbBZFjjGgGUA6NLw09EwE0CqkOc4q9oUmW1yo/edit?usp=sharing"",""ลำพูน!I74"")"),4)</f>
        <v>4</v>
      </c>
      <c r="J149" s="274">
        <f ca="1">IFERROR(__xludf.DUMMYFUNCTION("IMPORTRANGE(""https://docs.google.com/spreadsheets/d/11923uPwbBZFjjGgGUA6NLw09EwE0CqkOc4q9oUmW1yo/edit?usp=sharing"",""ลำพูน!J74"")"),2)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IFERROR(__xludf.DUMMYFUNCTION("IMPORTRANGE(""https://docs.google.com/spreadsheets/d/11923uPwbBZFjjGgGUA6NLw09EwE0CqkOc4q9oUmW1yo/edit?usp=sharing"",""ลำพูน!J84"")"),119)</f>
        <v>119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IFERROR(__xludf.DUMMYFUNCTION("IMPORTRANGE(""https://docs.google.com/spreadsheets/d/11923uPwbBZFjjGgGUA6NLw09EwE0CqkOc4q9oUmW1yo/edit?usp=sharing"",""ลำพูน!J85"")"),119)</f>
        <v>119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IFERROR(__xludf.DUMMYFUNCTION("IMPORTRANGE(""https://docs.google.com/spreadsheets/d/11923uPwbBZFjjGgGUA6NLw09EwE0CqkOc4q9oUmW1yo/edit?usp=sharing"",""ลำพูน!I89"")"),2)</f>
        <v>2</v>
      </c>
      <c r="J164" s="283">
        <f ca="1">IFERROR(__xludf.DUMMYFUNCTION("IMPORTRANGE(""https://docs.google.com/spreadsheets/d/11923uPwbBZFjjGgGUA6NLw09EwE0CqkOc4q9oUmW1yo/edit?usp=sharing"",""ลำพูน!J89"")"),2)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IFERROR(__xludf.DUMMYFUNCTION("IMPORTRANGE(""https://docs.google.com/spreadsheets/d/11923uPwbBZFjjGgGUA6NLw09EwE0CqkOc4q9oUmW1yo/edit?usp=sharing"",""ลำพูน!I101"")"),0)</f>
        <v>0</v>
      </c>
      <c r="J176" s="283">
        <f ca="1">IFERROR(__xludf.DUMMYFUNCTION("IMPORTRANGE(""https://docs.google.com/spreadsheets/d/11923uPwbBZFjjGgGUA6NLw09EwE0CqkOc4q9oUmW1yo/edit?usp=sharing"",""ลำพูน!J101"")"),0)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IFERROR(__xludf.DUMMYFUNCTION("IMPORTRANGE(""https://docs.google.com/spreadsheets/d/11923uPwbBZFjjGgGUA6NLw09EwE0CqkOc4q9oUmW1yo/edit?usp=sharing"",""ลำพูน!J113"")"),0)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IFERROR(__xludf.DUMMYFUNCTION("IMPORTRANGE(""https://docs.google.com/spreadsheets/d/11923uPwbBZFjjGgGUA6NLw09EwE0CqkOc4q9oUmW1yo/edit?usp=sharing"",""ลำพูน!I114"")"),100000)</f>
        <v>100000</v>
      </c>
      <c r="J189" s="283">
        <f ca="1">IFERROR(__xludf.DUMMYFUNCTION("IMPORTRANGE(""https://docs.google.com/spreadsheets/d/11923uPwbBZFjjGgGUA6NLw09EwE0CqkOc4q9oUmW1yo/edit?usp=sharing"",""ลำพูน!J114"")"),0)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IFERROR(__xludf.DUMMYFUNCTION("IMPORTRANGE(""https://docs.google.com/spreadsheets/d/11923uPwbBZFjjGgGUA6NLw09EwE0CqkOc4q9oUmW1yo/edit?usp=sharing"",""ลำพูน!J128"")"),0)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IFERROR(__xludf.DUMMYFUNCTION("IMPORTRANGE(""https://docs.google.com/spreadsheets/d/11923uPwbBZFjjGgGUA6NLw09EwE0CqkOc4q9oUmW1yo/edit?usp=sharing"",""ลำพูน!I129"")"),150)</f>
        <v>150</v>
      </c>
      <c r="J204" s="283">
        <f ca="1">IFERROR(__xludf.DUMMYFUNCTION("IMPORTRANGE(""https://docs.google.com/spreadsheets/d/11923uPwbBZFjjGgGUA6NLw09EwE0CqkOc4q9oUmW1yo/edit?usp=sharing"",""ลำพูน!J129"")"),150)</f>
        <v>150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IFERROR(__xludf.DUMMYFUNCTION("IMPORTRANGE(""https://docs.google.com/spreadsheets/d/11923uPwbBZFjjGgGUA6NLw09EwE0CqkOc4q9oUmW1yo/edit?usp=sharing"",""ลำพูน!J143"")"),0)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IFERROR(__xludf.DUMMYFUNCTION("IMPORTRANGE(""https://docs.google.com/spreadsheets/d/11923uPwbBZFjjGgGUA6NLw09EwE0CqkOc4q9oUmW1yo/edit?usp=sharing"",""ลำพูน!I144"")"),15)</f>
        <v>15</v>
      </c>
      <c r="J219" s="266">
        <f ca="1">IFERROR(__xludf.DUMMYFUNCTION("IMPORTRANGE(""https://docs.google.com/spreadsheets/d/11923uPwbBZFjjGgGUA6NLw09EwE0CqkOc4q9oUmW1yo/edit?usp=sharing"",""ลำพูน!J144"")"),15)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IFERROR(__xludf.DUMMYFUNCTION("IMPORTRANGE(""https://docs.google.com/spreadsheets/d/11923uPwbBZFjjGgGUA6NLw09EwE0CqkOc4q9oUmW1yo/edit?usp=sharing"",""ลำพูน!I149"")"),15)</f>
        <v>15</v>
      </c>
      <c r="J229" s="266">
        <f ca="1">IFERROR(__xludf.DUMMYFUNCTION("IMPORTRANGE(""https://docs.google.com/spreadsheets/d/11923uPwbBZFjjGgGUA6NLw09EwE0CqkOc4q9oUmW1yo/edit?usp=sharing"",""ลำพูน!J149"")"),15)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IFERROR(__xludf.DUMMYFUNCTION("IMPORTRANGE(""https://docs.google.com/spreadsheets/d/11923uPwbBZFjjGgGUA6NLw09EwE0CqkOc4q9oUmW1yo/edit?usp=sharing"",""ลำพูน!J157"")"),0)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IFERROR(__xludf.DUMMYFUNCTION("IMPORTRANGE(""https://docs.google.com/spreadsheets/d/11923uPwbBZFjjGgGUA6NLw09EwE0CqkOc4q9oUmW1yo/edit?usp=sharing"",""ลำพูน!I158"")"),0)</f>
        <v>0</v>
      </c>
      <c r="J238" s="266">
        <f ca="1">IFERROR(__xludf.DUMMYFUNCTION("IMPORTRANGE(""https://docs.google.com/spreadsheets/d/11923uPwbBZFjjGgGUA6NLw09EwE0CqkOc4q9oUmW1yo/edit?usp=sharing"",""ลำพูน!J158"")"),0)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IFERROR(__xludf.DUMMYFUNCTION("IMPORTRANGE(""https://docs.google.com/spreadsheets/d/11923uPwbBZFjjGgGUA6NLw09EwE0CqkOc4q9oUmW1yo/edit?usp=sharing"",""ลำพูน!J166"")"),0)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IFERROR(__xludf.DUMMYFUNCTION("IMPORTRANGE(""https://docs.google.com/spreadsheets/d/11923uPwbBZFjjGgGUA6NLw09EwE0CqkOc4q9oUmW1yo/edit?usp=sharing"",""ลำพูน!I169"")"),0)</f>
        <v>0</v>
      </c>
      <c r="J249" s="315">
        <f ca="1">IFERROR(__xludf.DUMMYFUNCTION("IMPORTRANGE(""https://docs.google.com/spreadsheets/d/11923uPwbBZFjjGgGUA6NLw09EwE0CqkOc4q9oUmW1yo/edit?usp=sharing"",""ลำพูน!J169"")"),0)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IFERROR(__xludf.DUMMYFUNCTION("IMPORTRANGE(""https://docs.google.com/spreadsheets/d/11923uPwbBZFjjGgGUA6NLw09EwE0CqkOc4q9oUmW1yo/edit?usp=sharing"",""ลำพูน!J184"")"),0)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IFERROR(__xludf.DUMMYFUNCTION("IMPORTRANGE(""https://docs.google.com/spreadsheets/d/11923uPwbBZFjjGgGUA6NLw09EwE0CqkOc4q9oUmW1yo/edit?usp=sharing"",""ลำพูน!I185"")"),15)</f>
        <v>15</v>
      </c>
      <c r="J270" s="315">
        <f ca="1">IFERROR(__xludf.DUMMYFUNCTION("IMPORTRANGE(""https://docs.google.com/spreadsheets/d/11923uPwbBZFjjGgGUA6NLw09EwE0CqkOc4q9oUmW1yo/edit?usp=sharing"",""ลำพูน!J185"")"),15)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28115</v>
      </c>
      <c r="O271" s="151">
        <f t="shared" ref="O271:O273" ca="1" si="84">IF(L271&gt;0,N271*100/L271,0)</f>
        <v>50.93297101449275</v>
      </c>
      <c r="P271" s="151">
        <f t="shared" ref="P271:P273" ca="1" si="85">IF(M271&gt;0,N271*100/M271,0)</f>
        <v>87.178294573643413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28115</v>
      </c>
      <c r="O273" s="156">
        <f t="shared" ca="1" si="84"/>
        <v>50.93297101449275</v>
      </c>
      <c r="P273" s="156">
        <f t="shared" ca="1" si="85"/>
        <v>87.178294573643413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IFERROR(__xludf.DUMMYFUNCTION("IMPORTRANGE(""https://docs.google.com/spreadsheets/d/1Yj_ptqi66GCucihVvJfMjLAmec39IyEx_6qawtMGysU/edit?usp=sharing"",""สบก!CK33"")"),32250)</f>
        <v>32250</v>
      </c>
      <c r="N275" s="168">
        <f ca="1">IFERROR(__xludf.DUMMYFUNCTION("IMPORTRANGE(""https://docs.google.com/spreadsheets/d/1Yj_ptqi66GCucihVvJfMjLAmec39IyEx_6qawtMGysU/edit?usp=sharing"",""สบก!CL33"")"),28115)</f>
        <v>28115</v>
      </c>
      <c r="O275" s="168">
        <f ca="1">IF(L275&gt;0,N275*100/L275,0)</f>
        <v>50.93297101449275</v>
      </c>
      <c r="P275" s="168">
        <f ca="1">IF(M275&gt;0,N275*100/M275,0)</f>
        <v>87.178294573643413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IFERROR(__xludf.DUMMYFUNCTION("IMPORTRANGE(""https://docs.google.com/spreadsheets/d/11923uPwbBZFjjGgGUA6NLw09EwE0CqkOc4q9oUmW1yo/edit?usp=sharing"",""ลำพูน!I199"")"),0)</f>
        <v>0</v>
      </c>
      <c r="J289" s="315">
        <f ca="1">IFERROR(__xludf.DUMMYFUNCTION("IMPORTRANGE(""https://docs.google.com/spreadsheets/d/11923uPwbBZFjjGgGUA6NLw09EwE0CqkOc4q9oUmW1yo/edit?usp=sharing"",""ลำพูน!J199"")"),0)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IFERROR(__xludf.DUMMYFUNCTION("IMPORTRANGE(""https://docs.google.com/spreadsheets/d/11923uPwbBZFjjGgGUA6NLw09EwE0CqkOc4q9oUmW1yo/edit?usp=sharing"",""ลำพูน!J213"")"),0)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IFERROR(__xludf.DUMMYFUNCTION("IMPORTRANGE(""https://docs.google.com/spreadsheets/d/11923uPwbBZFjjGgGUA6NLw09EwE0CqkOc4q9oUmW1yo/edit?usp=sharing"",""ลำพูน!I214"")"),0)</f>
        <v>0</v>
      </c>
      <c r="J309" s="332">
        <f ca="1">IFERROR(__xludf.DUMMYFUNCTION("IMPORTRANGE(""https://docs.google.com/spreadsheets/d/11923uPwbBZFjjGgGUA6NLw09EwE0CqkOc4q9oUmW1yo/edit?usp=sharing"",""ลำพูน!J214"")"),0)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IFERROR(__xludf.DUMMYFUNCTION("IMPORTRANGE(""https://docs.google.com/spreadsheets/d/11923uPwbBZFjjGgGUA6NLw09EwE0CqkOc4q9oUmW1yo/edit?usp=sharing"",""ลำพูน!J226"")"),0)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IFERROR(__xludf.DUMMYFUNCTION("IMPORTRANGE(""https://docs.google.com/spreadsheets/d/11923uPwbBZFjjGgGUA6NLw09EwE0CqkOc4q9oUmW1yo/edit?usp=sharing"",""ลำพูน!I228"")"),222)</f>
        <v>222</v>
      </c>
      <c r="J328" s="338">
        <f ca="1">IFERROR(__xludf.DUMMYFUNCTION("IMPORTRANGE(""https://docs.google.com/spreadsheets/d/11923uPwbBZFjjGgGUA6NLw09EwE0CqkOc4q9oUmW1yo/edit?usp=sharing"",""ลำพูน!J228"")"),100)</f>
        <v>100</v>
      </c>
      <c r="K328" s="316">
        <f ca="1">IF(I328&gt;0,J328*100/I328,0)</f>
        <v>45.045045045045043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733780</v>
      </c>
      <c r="M329" s="152">
        <f t="shared" ca="1" si="98"/>
        <v>564760</v>
      </c>
      <c r="N329" s="152">
        <f t="shared" ca="1" si="98"/>
        <v>362432</v>
      </c>
      <c r="O329" s="151">
        <f t="shared" ref="O329:O331" ca="1" si="99">IF(L329&gt;0,N329*100/L329,0)</f>
        <v>49.392460955599773</v>
      </c>
      <c r="P329" s="151">
        <f t="shared" ref="P329:P331" ca="1" si="100">IF(M329&gt;0,N329*100/M329,0)</f>
        <v>64.174516608824987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733780</v>
      </c>
      <c r="M331" s="88">
        <f t="shared" ca="1" si="102"/>
        <v>564760</v>
      </c>
      <c r="N331" s="88">
        <f t="shared" ca="1" si="102"/>
        <v>362432</v>
      </c>
      <c r="O331" s="156">
        <f t="shared" ca="1" si="99"/>
        <v>49.392460955599773</v>
      </c>
      <c r="P331" s="156">
        <f t="shared" ca="1" si="100"/>
        <v>64.174516608824987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722380</v>
      </c>
      <c r="M333" s="167">
        <f ca="1">IFERROR(__xludf.DUMMYFUNCTION("IMPORTRANGE(""https://docs.google.com/spreadsheets/d/1Yj_ptqi66GCucihVvJfMjLAmec39IyEx_6qawtMGysU/edit?usp=sharing"",""สบก!DL33"")"),553360)</f>
        <v>553360</v>
      </c>
      <c r="N333" s="168">
        <f ca="1">IFERROR(__xludf.DUMMYFUNCTION("IMPORTRANGE(""https://docs.google.com/spreadsheets/d/1Yj_ptqi66GCucihVvJfMjLAmec39IyEx_6qawtMGysU/edit?usp=sharing"",""สบก!DM33"")"),351032)</f>
        <v>351032</v>
      </c>
      <c r="O333" s="168">
        <f ca="1">IF(L333&gt;0,N333*100/L333,0)</f>
        <v>48.593814889670256</v>
      </c>
      <c r="P333" s="168">
        <f ca="1">IF(M333&gt;0,N333*100/M333,0)</f>
        <v>63.436460893450921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IFERROR(__xludf.DUMMYFUNCTION("IMPORTRANGE(""https://docs.google.com/spreadsheets/d/1Yj_ptqi66GCucihVvJfMjLAmec39IyEx_6qawtMGysU/edit?usp=sharing"",""สบก!DI33"")"),304780)</f>
        <v>304780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IFERROR(__xludf.DUMMYFUNCTION("IMPORTRANGE(""https://docs.google.com/spreadsheets/d/11923uPwbBZFjjGgGUA6NLw09EwE0CqkOc4q9oUmW1yo/edit?usp=sharing"",""ลำพูน!J234"")"),84)</f>
        <v>84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IFERROR(__xludf.DUMMYFUNCTION("IMPORTRANGE(""https://docs.google.com/spreadsheets/d/11923uPwbBZFjjGgGUA6NLw09EwE0CqkOc4q9oUmW1yo/edit?usp=sharing"",""ลำพูน!J235"")"),333.67)</f>
        <v>333.67</v>
      </c>
      <c r="K340" s="341">
        <f t="shared" ca="1" si="103"/>
        <v>47.667142857142856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IFERROR(__xludf.DUMMYFUNCTION("IMPORTRANGE(""https://docs.google.com/spreadsheets/d/11923uPwbBZFjjGgGUA6NLw09EwE0CqkOc4q9oUmW1yo/edit?usp=sharing"",""ลำพูน!I236"")"),222)</f>
        <v>222</v>
      </c>
      <c r="J341" s="187">
        <f ca="1">IFERROR(__xludf.DUMMYFUNCTION("IMPORTRANGE(""https://docs.google.com/spreadsheets/d/11923uPwbBZFjjGgGUA6NLw09EwE0CqkOc4q9oUmW1yo/edit?usp=sharing"",""ลำพูน!J236"")"),109)</f>
        <v>109</v>
      </c>
      <c r="K341" s="341">
        <f t="shared" ca="1" si="103"/>
        <v>49.099099099099099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IFERROR(__xludf.DUMMYFUNCTION("IMPORTRANGE(""https://docs.google.com/spreadsheets/d/11923uPwbBZFjjGgGUA6NLw09EwE0CqkOc4q9oUmW1yo/edit?usp=sharing"",""ลำพูน!J237"")"),691.33)</f>
        <v>691.33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IFERROR(__xludf.DUMMYFUNCTION("IMPORTRANGE(""https://docs.google.com/spreadsheets/d/11923uPwbBZFjjGgGUA6NLw09EwE0CqkOc4q9oUmW1yo/edit?usp=sharing"",""ลำพูน!I238"")"),222)</f>
        <v>222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IFERROR(__xludf.DUMMYFUNCTION("IMPORTRANGE(""https://docs.google.com/spreadsheets/d/11923uPwbBZFjjGgGUA6NLw09EwE0CqkOc4q9oUmW1yo/edit?usp=sharing"",""ลำพูน!I240"")"),222)</f>
        <v>222</v>
      </c>
      <c r="J345" s="187">
        <f ca="1">IFERROR(__xludf.DUMMYFUNCTION("IMPORTRANGE(""https://docs.google.com/spreadsheets/d/11923uPwbBZFjjGgGUA6NLw09EwE0CqkOc4q9oUmW1yo/edit?usp=sharing"",""ลำพูน!J240"")"),100)</f>
        <v>100</v>
      </c>
      <c r="K345" s="341">
        <f t="shared" ca="1" si="103"/>
        <v>45.045045045045043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IFERROR(__xludf.DUMMYFUNCTION("IMPORTRANGE(""https://docs.google.com/spreadsheets/d/11923uPwbBZFjjGgGUA6NLw09EwE0CqkOc4q9oUmW1yo/edit?usp=sharing"",""ลำพูน!J241"")"),663.87)</f>
        <v>663.87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IFERROR(__xludf.DUMMYFUNCTION("IMPORTRANGE(""https://docs.google.com/spreadsheets/d/11923uPwbBZFjjGgGUA6NLw09EwE0CqkOc4q9oUmW1yo/edit?usp=sharing"",""ลำพูน!L242"")"),2406809.66)</f>
        <v>2406809.66</v>
      </c>
      <c r="M347" s="357"/>
      <c r="N347" s="357">
        <f ca="1">IFERROR(__xludf.DUMMYFUNCTION("IMPORTRANGE(""https://docs.google.com/spreadsheets/d/11923uPwbBZFjjGgGUA6NLw09EwE0CqkOc4q9oUmW1yo/edit?usp=sharing"",""ลำพูน!M242"")"),873658)</f>
        <v>873658</v>
      </c>
      <c r="O347" s="357">
        <f ca="1">+IF(L347&gt;0,N347*100/L347,0)</f>
        <v>36.299422198596289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IFERROR(__xludf.DUMMYFUNCTION("IMPORTRANGE(""https://docs.google.com/spreadsheets/d/11923uPwbBZFjjGgGUA6NLw09EwE0CqkOc4q9oUmW1yo/edit?usp=sharing"",""ลำพูน!M244"")"),323820)</f>
        <v>323820</v>
      </c>
      <c r="O349" s="372">
        <f ca="1">+IF(L349&gt;0,N349*100/L349,0)</f>
        <v>70.490661326135225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IFERROR(__xludf.DUMMYFUNCTION("IMPORTRANGE(""https://docs.google.com/spreadsheets/d/11923uPwbBZFjjGgGUA6NLw09EwE0CqkOc4q9oUmW1yo/edit?usp=sharing"",""ลำพูน!M247"")"),323820)</f>
        <v>323820</v>
      </c>
      <c r="O352" s="165">
        <f t="shared" ca="1" si="105"/>
        <v>70.490661326135225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IFERROR(__xludf.DUMMYFUNCTION("IMPORTRANGE(""https://docs.google.com/spreadsheets/d/11923uPwbBZFjjGgGUA6NLw09EwE0CqkOc4q9oUmW1yo/edit?usp=sharing"",""ลำพูน!M249"")"),323820)</f>
        <v>323820</v>
      </c>
      <c r="O354" s="168">
        <f t="shared" ca="1" si="105"/>
        <v>70.490661326135225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IFERROR(__xludf.DUMMYFUNCTION("IMPORTRANGE(""https://docs.google.com/spreadsheets/d/11923uPwbBZFjjGgGUA6NLw09EwE0CqkOc4q9oUmW1yo/edit?usp=sharing"",""ลำพูน!M252"")"),42935)</f>
        <v>42935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IFERROR(__xludf.DUMMYFUNCTION("IMPORTRANGE(""https://docs.google.com/spreadsheets/d/11923uPwbBZFjjGgGUA6NLw09EwE0CqkOc4q9oUmW1yo/edit?usp=sharing"",""ลำพูน!M253"")"),12485)</f>
        <v>12485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IFERROR(__xludf.DUMMYFUNCTION("IMPORTRANGE(""https://docs.google.com/spreadsheets/d/11923uPwbBZFjjGgGUA6NLw09EwE0CqkOc4q9oUmW1yo/edit?usp=sharing"",""ลำพูน!M275"")"),233785)</f>
        <v>233785</v>
      </c>
      <c r="O380" s="372">
        <f ca="1">+IF(L380&gt;0,N380*100/L380,0)</f>
        <v>22.730233733908918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IFERROR(__xludf.DUMMYFUNCTION("IMPORTRANGE(""https://docs.google.com/spreadsheets/d/11923uPwbBZFjjGgGUA6NLw09EwE0CqkOc4q9oUmW1yo/edit?usp=sharing"",""ลำพูน!M278"")"),233785)</f>
        <v>233785</v>
      </c>
      <c r="O383" s="165">
        <f t="shared" ca="1" si="109"/>
        <v>22.730233733908918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IFERROR(__xludf.DUMMYFUNCTION("IMPORTRANGE(""https://docs.google.com/spreadsheets/d/11923uPwbBZFjjGgGUA6NLw09EwE0CqkOc4q9oUmW1yo/edit?usp=sharing"",""ลำพูน!M280"")"),233785)</f>
        <v>233785</v>
      </c>
      <c r="O385" s="168">
        <f t="shared" ca="1" si="109"/>
        <v>22.730233733908918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IFERROR(__xludf.DUMMYFUNCTION("IMPORTRANGE(""https://docs.google.com/spreadsheets/d/11923uPwbBZFjjGgGUA6NLw09EwE0CqkOc4q9oUmW1yo/edit?usp=sharing"",""ลำพูน!M281"")"),166850)</f>
        <v>166850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IFERROR(__xludf.DUMMYFUNCTION("IMPORTRANGE(""https://docs.google.com/spreadsheets/d/11923uPwbBZFjjGgGUA6NLw09EwE0CqkOc4q9oUmW1yo/edit?usp=sharing"",""ลำพูน!M283"")"),53935)</f>
        <v>53935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IFERROR(__xludf.DUMMYFUNCTION("IMPORTRANGE(""https://docs.google.com/spreadsheets/d/11923uPwbBZFjjGgGUA6NLw09EwE0CqkOc4q9oUmW1yo/edit?usp=sharing"",""ลำพูน!M284"")"),13000)</f>
        <v>13000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IFERROR(__xludf.DUMMYFUNCTION("IMPORTRANGE(""https://docs.google.com/spreadsheets/d/11923uPwbBZFjjGgGUA6NLw09EwE0CqkOc4q9oUmW1yo/edit?usp=sharing"",""ลำพูน!M296"")"),61885)</f>
        <v>61885</v>
      </c>
      <c r="O401" s="372">
        <f ca="1">+IF(L401&gt;0,N401*100/L401,0)</f>
        <v>32.884319039268824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IFERROR(__xludf.DUMMYFUNCTION("IMPORTRANGE(""https://docs.google.com/spreadsheets/d/11923uPwbBZFjjGgGUA6NLw09EwE0CqkOc4q9oUmW1yo/edit?usp=sharing"",""ลำพูน!J297"")"),10)</f>
        <v>10</v>
      </c>
      <c r="K402" s="371">
        <f t="shared" ca="1" si="111"/>
        <v>18.181818181818183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IFERROR(__xludf.DUMMYFUNCTION("IMPORTRANGE(""https://docs.google.com/spreadsheets/d/11923uPwbBZFjjGgGUA6NLw09EwE0CqkOc4q9oUmW1yo/edit?usp=sharing"",""ลำพูน!M299"")"),61885)</f>
        <v>61885</v>
      </c>
      <c r="O404" s="168">
        <f t="shared" ca="1" si="112"/>
        <v>32.884319039268824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IFERROR(__xludf.DUMMYFUNCTION("IMPORTRANGE(""https://docs.google.com/spreadsheets/d/11923uPwbBZFjjGgGUA6NLw09EwE0CqkOc4q9oUmW1yo/edit?usp=sharing"",""ลำพูน!M301"")"),61885)</f>
        <v>61885</v>
      </c>
      <c r="O406" s="168">
        <f t="shared" ca="1" si="112"/>
        <v>32.884319039268824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IFERROR(__xludf.DUMMYFUNCTION("IMPORTRANGE(""https://docs.google.com/spreadsheets/d/11923uPwbBZFjjGgGUA6NLw09EwE0CqkOc4q9oUmW1yo/edit?usp=sharing"",""ลำพูน!M302"")"),61885)</f>
        <v>61885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IFERROR(__xludf.DUMMYFUNCTION("IMPORTRANGE(""https://docs.google.com/spreadsheets/d/11923uPwbBZFjjGgGUA6NLw09EwE0CqkOc4q9oUmW1yo/edit?usp=sharing"",""ลำพูน!M305"")"),0)</f>
        <v>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IFERROR(__xludf.DUMMYFUNCTION("IMPORTRANGE(""https://docs.google.com/spreadsheets/d/11923uPwbBZFjjGgGUA6NLw09EwE0CqkOc4q9oUmW1yo/edit?usp=sharing"",""ลำพูน!J311"")"),10)</f>
        <v>10</v>
      </c>
      <c r="K416" s="201">
        <f t="shared" ref="K416:K432" ca="1" si="113">IF(I416&gt;0,J416*100/I416,0)</f>
        <v>18.181818181818183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IFERROR(__xludf.DUMMYFUNCTION("IMPORTRANGE(""https://docs.google.com/spreadsheets/d/11923uPwbBZFjjGgGUA6NLw09EwE0CqkOc4q9oUmW1yo/edit?usp=sharing"",""ลำพูน!J315"")"),0)</f>
        <v>0</v>
      </c>
      <c r="K420" s="287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IFERROR(__xludf.DUMMYFUNCTION("IMPORTRANGE(""https://docs.google.com/spreadsheets/d/11923uPwbBZFjjGgGUA6NLw09EwE0CqkOc4q9oUmW1yo/edit?usp=sharing"",""ลำพูน!L330"")"),118000)</f>
        <v>118000</v>
      </c>
      <c r="M435" s="411"/>
      <c r="N435" s="411">
        <f ca="1">IFERROR(__xludf.DUMMYFUNCTION("IMPORTRANGE(""https://docs.google.com/spreadsheets/d/11923uPwbBZFjjGgGUA6NLw09EwE0CqkOc4q9oUmW1yo/edit?usp=sharing"",""ลำพูน!M330"")"),41220)</f>
        <v>41220</v>
      </c>
      <c r="O435" s="411">
        <f t="shared" ref="O435:O439" ca="1" si="114">+IF(L435&gt;0,N435*100/L435,0)</f>
        <v>34.932203389830505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IFERROR(__xludf.DUMMYFUNCTION("IMPORTRANGE(""https://docs.google.com/spreadsheets/d/11923uPwbBZFjjGgGUA6NLw09EwE0CqkOc4q9oUmW1yo/edit?usp=sharing"",""ลำพูน!L332"")"),118000)</f>
        <v>118000</v>
      </c>
      <c r="M437" s="165"/>
      <c r="N437" s="168">
        <f ca="1">IFERROR(__xludf.DUMMYFUNCTION("IMPORTRANGE(""https://docs.google.com/spreadsheets/d/11923uPwbBZFjjGgGUA6NLw09EwE0CqkOc4q9oUmW1yo/edit?usp=sharing"",""ลำพูน!M332"")"),41220)</f>
        <v>41220</v>
      </c>
      <c r="O437" s="168">
        <f t="shared" ca="1" si="114"/>
        <v>34.932203389830505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IFERROR(__xludf.DUMMYFUNCTION("IMPORTRANGE(""https://docs.google.com/spreadsheets/d/11923uPwbBZFjjGgGUA6NLw09EwE0CqkOc4q9oUmW1yo/edit?usp=sharing"",""ลำพูน!L334"")"),118000)</f>
        <v>118000</v>
      </c>
      <c r="M439" s="168"/>
      <c r="N439" s="168">
        <f ca="1">IFERROR(__xludf.DUMMYFUNCTION("IMPORTRANGE(""https://docs.google.com/spreadsheets/d/11923uPwbBZFjjGgGUA6NLw09EwE0CqkOc4q9oUmW1yo/edit?usp=sharing"",""ลำพูน!M334"")"),41220)</f>
        <v>41220</v>
      </c>
      <c r="O439" s="168">
        <f t="shared" ca="1" si="114"/>
        <v>34.932203389830505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IFERROR(__xludf.DUMMYFUNCTION("IMPORTRANGE(""https://docs.google.com/spreadsheets/d/11923uPwbBZFjjGgGUA6NLw09EwE0CqkOc4q9oUmW1yo/edit?usp=sharing"",""ลำพูน!M335"")"),41220)</f>
        <v>41220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IFERROR(__xludf.DUMMYFUNCTION("IMPORTRANGE(""https://docs.google.com/spreadsheets/d/11923uPwbBZFjjGgGUA6NLw09EwE0CqkOc4q9oUmW1yo/edit?usp=sharing"",""ลำพูน!M338"")"),0)</f>
        <v>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IFERROR(__xludf.DUMMYFUNCTION("IMPORTRANGE(""https://docs.google.com/spreadsheets/d/11923uPwbBZFjjGgGUA6NLw09EwE0CqkOc4q9oUmW1yo/edit?usp=sharing"",""ลำพูน!L350"")"),446949.66)</f>
        <v>446949.66</v>
      </c>
      <c r="M455" s="372"/>
      <c r="N455" s="372">
        <f ca="1">IFERROR(__xludf.DUMMYFUNCTION("IMPORTRANGE(""https://docs.google.com/spreadsheets/d/11923uPwbBZFjjGgGUA6NLw09EwE0CqkOc4q9oUmW1yo/edit?usp=sharing"",""ลำพูน!M350"")"),145824)</f>
        <v>145824</v>
      </c>
      <c r="O455" s="372">
        <f t="shared" ref="O455:O459" ca="1" si="116">+IF(L455&gt;0,N455*100/L455,0)</f>
        <v>32.626493104391223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IFERROR(__xludf.DUMMYFUNCTION("IMPORTRANGE(""https://docs.google.com/spreadsheets/d/11923uPwbBZFjjGgGUA6NLw09EwE0CqkOc4q9oUmW1yo/edit?usp=sharing"",""ลำพูน!L352"")"),446949.66)</f>
        <v>446949.66</v>
      </c>
      <c r="M457" s="165"/>
      <c r="N457" s="168">
        <f ca="1">IFERROR(__xludf.DUMMYFUNCTION("IMPORTRANGE(""https://docs.google.com/spreadsheets/d/11923uPwbBZFjjGgGUA6NLw09EwE0CqkOc4q9oUmW1yo/edit?usp=sharing"",""ลำพูน!M352"")"),145824)</f>
        <v>145824</v>
      </c>
      <c r="O457" s="168">
        <f t="shared" ca="1" si="116"/>
        <v>32.626493104391223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IFERROR(__xludf.DUMMYFUNCTION("IMPORTRANGE(""https://docs.google.com/spreadsheets/d/11923uPwbBZFjjGgGUA6NLw09EwE0CqkOc4q9oUmW1yo/edit?usp=sharing"",""ลำพูน!L354"")"),446949.66)</f>
        <v>446949.66</v>
      </c>
      <c r="M459" s="168"/>
      <c r="N459" s="168">
        <f ca="1">IFERROR(__xludf.DUMMYFUNCTION("IMPORTRANGE(""https://docs.google.com/spreadsheets/d/11923uPwbBZFjjGgGUA6NLw09EwE0CqkOc4q9oUmW1yo/edit?usp=sharing"",""ลำพูน!M354"")"),145824)</f>
        <v>145824</v>
      </c>
      <c r="O459" s="168">
        <f t="shared" ca="1" si="116"/>
        <v>32.626493104391223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IFERROR(__xludf.DUMMYFUNCTION("IMPORTRANGE(""https://docs.google.com/spreadsheets/d/11923uPwbBZFjjGgGUA6NLw09EwE0CqkOc4q9oUmW1yo/edit?usp=sharing"",""ลำพูน!M357"")"),58839)</f>
        <v>58839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IFERROR(__xludf.DUMMYFUNCTION("IMPORTRANGE(""https://docs.google.com/spreadsheets/d/11923uPwbBZFjjGgGUA6NLw09EwE0CqkOc4q9oUmW1yo/edit?usp=sharing"",""ลำพูน!M358"")"),86985)</f>
        <v>86985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IFERROR(__xludf.DUMMYFUNCTION("IMPORTRANGE(""https://docs.google.com/spreadsheets/d/11923uPwbBZFjjGgGUA6NLw09EwE0CqkOc4q9oUmW1yo/edit?usp=sharing"",""ลำพูน!I359"")"),41345)</f>
        <v>41345</v>
      </c>
      <c r="J464" s="266">
        <f ca="1">IFERROR(__xludf.DUMMYFUNCTION("IMPORTRANGE(""https://docs.google.com/spreadsheets/d/11923uPwbBZFjjGgGUA6NLw09EwE0CqkOc4q9oUmW1yo/edit?usp=sharing"",""ลำพูน!J359"")"),0)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IFERROR(__xludf.DUMMYFUNCTION("IMPORTRANGE(""https://docs.google.com/spreadsheets/d/11923uPwbBZFjjGgGUA6NLw09EwE0CqkOc4q9oUmW1yo/edit?usp=sharing"",""ลำพูน!I411"")"),0)</f>
        <v>0</v>
      </c>
      <c r="J516" s="266">
        <f ca="1">IFERROR(__xludf.DUMMYFUNCTION("IMPORTRANGE(""https://docs.google.com/spreadsheets/d/11923uPwbBZFjjGgGUA6NLw09EwE0CqkOc4q9oUmW1yo/edit?usp=sharing"",""ลำพูน!J411"")"),0)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IFERROR(__xludf.DUMMYFUNCTION("IMPORTRANGE(""https://docs.google.com/spreadsheets/d/11923uPwbBZFjjGgGUA6NLw09EwE0CqkOc4q9oUmW1yo/edit?usp=sharing"",""ลำพูน!I412"")"),0)</f>
        <v>0</v>
      </c>
      <c r="J517" s="283">
        <f ca="1">IFERROR(__xludf.DUMMYFUNCTION("IMPORTRANGE(""https://docs.google.com/spreadsheets/d/11923uPwbBZFjjGgGUA6NLw09EwE0CqkOc4q9oUmW1yo/edit?usp=sharing"",""ลำพูน!J412"")"),0)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IFERROR(__xludf.DUMMYFUNCTION("IMPORTRANGE(""https://docs.google.com/spreadsheets/d/11923uPwbBZFjjGgGUA6NLw09EwE0CqkOc4q9oUmW1yo/edit?usp=sharing"",""ลำพูน!I413"")"),0)</f>
        <v>0</v>
      </c>
      <c r="J518" s="283">
        <f ca="1">IFERROR(__xludf.DUMMYFUNCTION("IMPORTRANGE(""https://docs.google.com/spreadsheets/d/11923uPwbBZFjjGgGUA6NLw09EwE0CqkOc4q9oUmW1yo/edit?usp=sharing"",""ลำพูน!J413"")"),0)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IFERROR(__xludf.DUMMYFUNCTION("IMPORTRANGE(""https://docs.google.com/spreadsheets/d/11923uPwbBZFjjGgGUA6NLw09EwE0CqkOc4q9oUmW1yo/edit?usp=sharing"",""ลำพูน!I420"")"),157)</f>
        <v>157</v>
      </c>
      <c r="J525" s="283">
        <f ca="1">IFERROR(__xludf.DUMMYFUNCTION("IMPORTRANGE(""https://docs.google.com/spreadsheets/d/11923uPwbBZFjjGgGUA6NLw09EwE0CqkOc4q9oUmW1yo/edit?usp=sharing"",""ลำพูน!J420"")"),157)</f>
        <v>157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IFERROR(__xludf.DUMMYFUNCTION("IMPORTRANGE(""https://docs.google.com/spreadsheets/d/11923uPwbBZFjjGgGUA6NLw09EwE0CqkOc4q9oUmW1yo/edit?usp=sharing"",""ลำพูน!I421"")"),18)</f>
        <v>18</v>
      </c>
      <c r="J526" s="283">
        <f ca="1">IFERROR(__xludf.DUMMYFUNCTION("IMPORTRANGE(""https://docs.google.com/spreadsheets/d/11923uPwbBZFjjGgGUA6NLw09EwE0CqkOc4q9oUmW1yo/edit?usp=sharing"",""ลำพูน!J421"")"),18)</f>
        <v>18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IFERROR(__xludf.DUMMYFUNCTION("IMPORTRANGE(""https://docs.google.com/spreadsheets/d/11923uPwbBZFjjGgGUA6NLw09EwE0CqkOc4q9oUmW1yo/edit?usp=sharing"",""ลำพูน!J459"")"),577)</f>
        <v>577</v>
      </c>
      <c r="K564" s="371">
        <f ca="1">IF(I564&gt;0,J564*100/I564,0)</f>
        <v>88.769230769230774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IFERROR(__xludf.DUMMYFUNCTION("IMPORTRANGE(""https://docs.google.com/spreadsheets/d/11923uPwbBZFjjGgGUA6NLw09EwE0CqkOc4q9oUmW1yo/edit?usp=sharing"",""ลำพูน!M459"")"),48305)</f>
        <v>48305</v>
      </c>
      <c r="O564" s="372">
        <f t="shared" ref="O564:O568" ca="1" si="122">+IF(L564&gt;0,N564*100/L564,0)</f>
        <v>38.071406052963432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IFERROR(__xludf.DUMMYFUNCTION("IMPORTRANGE(""https://docs.google.com/spreadsheets/d/11923uPwbBZFjjGgGUA6NLw09EwE0CqkOc4q9oUmW1yo/edit?usp=sharing"",""ลำพูน!M461"")"),48305)</f>
        <v>48305</v>
      </c>
      <c r="O566" s="168">
        <f t="shared" ca="1" si="122"/>
        <v>38.071406052963432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IFERROR(__xludf.DUMMYFUNCTION("IMPORTRANGE(""https://docs.google.com/spreadsheets/d/11923uPwbBZFjjGgGUA6NLw09EwE0CqkOc4q9oUmW1yo/edit?usp=sharing"",""ลำพูน!M463"")"),48305)</f>
        <v>48305</v>
      </c>
      <c r="O568" s="168">
        <f t="shared" ca="1" si="122"/>
        <v>38.071406052963432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IFERROR(__xludf.DUMMYFUNCTION("IMPORTRANGE(""https://docs.google.com/spreadsheets/d/11923uPwbBZFjjGgGUA6NLw09EwE0CqkOc4q9oUmW1yo/edit?usp=sharing"",""ลำพูน!M466"")"),42935)</f>
        <v>42935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IFERROR(__xludf.DUMMYFUNCTION("IMPORTRANGE(""https://docs.google.com/spreadsheets/d/11923uPwbBZFjjGgGUA6NLw09EwE0CqkOc4q9oUmW1yo/edit?usp=sharing"",""ลำพูน!M467"")"),5370)</f>
        <v>5370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IFERROR(__xludf.DUMMYFUNCTION("IMPORTRANGE(""https://docs.google.com/spreadsheets/d/11923uPwbBZFjjGgGUA6NLw09EwE0CqkOc4q9oUmW1yo/edit?usp=sharing"",""ลำพูน!J468"")"),577)</f>
        <v>577</v>
      </c>
      <c r="K573" s="201">
        <f ca="1">IF(I573&gt;0,J573*100/I573,0)</f>
        <v>88.769230769230774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IFERROR(__xludf.DUMMYFUNCTION("IMPORTRANGE(""https://docs.google.com/spreadsheets/d/11923uPwbBZFjjGgGUA6NLw09EwE0CqkOc4q9oUmW1yo/edit?usp=sharing"",""ลำพูน!J471"")"),180)</f>
        <v>180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IFERROR(__xludf.DUMMYFUNCTION("IMPORTRANGE(""https://docs.google.com/spreadsheets/d/11923uPwbBZFjjGgGUA6NLw09EwE0CqkOc4q9oUmW1yo/edit?usp=sharing"",""ลำพูน!J472"")"),397)</f>
        <v>397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IFERROR(__xludf.DUMMYFUNCTION("IMPORTRANGE(""https://docs.google.com/spreadsheets/d/11923uPwbBZFjjGgGUA6NLw09EwE0CqkOc4q9oUmW1yo/edit?usp=sharing"",""ลำพูน!I491"")"),0)</f>
        <v>0</v>
      </c>
      <c r="J596" s="240">
        <f ca="1">IFERROR(__xludf.DUMMYFUNCTION("IMPORTRANGE(""https://docs.google.com/spreadsheets/d/11923uPwbBZFjjGgGUA6NLw09EwE0CqkOc4q9oUmW1yo/edit?usp=sharing"",""ลำพูน!J491"")"),0)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7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IFERROR(__xludf.DUMMYFUNCTION("IMPORTRANGE(""https://docs.google.com/spreadsheets/d/11923uPwbBZFjjGgGUA6NLw09EwE0CqkOc4q9oUmW1yo/edit?usp=sharing"",""ลำพูน!L492"")"),4550)</f>
        <v>4550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18.681318681318682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IFERROR(__xludf.DUMMYFUNCTION("IMPORTRANGE(""https://docs.google.com/spreadsheets/d/11923uPwbBZFjjGgGUA6NLw09EwE0CqkOc4q9oUmW1yo/edit?usp=sharing"",""ลำพูน!I523"")"),6577500)</f>
        <v>6577500</v>
      </c>
      <c r="J628" s="340">
        <f ca="1">IFERROR(__xludf.DUMMYFUNCTION("IMPORTRANGE(""https://docs.google.com/spreadsheets/d/11923uPwbBZFjjGgGUA6NLw09EwE0CqkOc4q9oUmW1yo/edit?usp=sharing"",""ลำพูน!J523"")"),3935394)</f>
        <v>3935394</v>
      </c>
      <c r="K628" s="341">
        <f t="shared" ref="K628:K635" ca="1" si="129">IF(I628&gt;0,J628*100/I628,0)</f>
        <v>59.83115165336374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IFERROR(__xludf.DUMMYFUNCTION("IMPORTRANGE(""https://docs.google.com/spreadsheets/d/11923uPwbBZFjjGgGUA6NLw09EwE0CqkOc4q9oUmW1yo/edit?usp=sharing"",""ลำพูน!I524"")"),219)</f>
        <v>219</v>
      </c>
      <c r="J629" s="340">
        <f ca="1">IFERROR(__xludf.DUMMYFUNCTION("IMPORTRANGE(""https://docs.google.com/spreadsheets/d/11923uPwbBZFjjGgGUA6NLw09EwE0CqkOc4q9oUmW1yo/edit?usp=sharing"",""ลำพูน!J524"")"),135)</f>
        <v>135</v>
      </c>
      <c r="K629" s="341">
        <f t="shared" ca="1" si="129"/>
        <v>61.643835616438359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0">
        <f ca="1">IFERROR(__xludf.DUMMYFUNCTION("IMPORTRANGE(""https://docs.google.com/spreadsheets/d/11923uPwbBZFjjGgGUA6NLw09EwE0CqkOc4q9oUmW1yo/edit?usp=sharing"",""ลำพูน!J525"")"),127053.11)</f>
        <v>127053.11</v>
      </c>
      <c r="K630" s="341">
        <f t="shared" ca="1" si="129"/>
        <v>2.3265267942700003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IFERROR(__xludf.DUMMYFUNCTION("IMPORTRANGE(""https://docs.google.com/spreadsheets/d/11923uPwbBZFjjGgGUA6NLw09EwE0CqkOc4q9oUmW1yo/edit?usp=sharing"",""ลำพูน!I526"")"),213)</f>
        <v>213</v>
      </c>
      <c r="J631" s="340">
        <f ca="1">IFERROR(__xludf.DUMMYFUNCTION("IMPORTRANGE(""https://docs.google.com/spreadsheets/d/11923uPwbBZFjjGgGUA6NLw09EwE0CqkOc4q9oUmW1yo/edit?usp=sharing"",""ลำพูน!J526"")"),23)</f>
        <v>23</v>
      </c>
      <c r="K631" s="341">
        <f t="shared" ca="1" si="129"/>
        <v>10.7981220657277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IFERROR(__xludf.DUMMYFUNCTION("IMPORTRANGE(""https://docs.google.com/spreadsheets/d/11923uPwbBZFjjGgGUA6NLw09EwE0CqkOc4q9oUmW1yo/edit?usp=sharing"",""ลำพูน!I527"")"),3460652.83)</f>
        <v>3460652.83</v>
      </c>
      <c r="J632" s="340">
        <f ca="1">IFERROR(__xludf.DUMMYFUNCTION("IMPORTRANGE(""https://docs.google.com/spreadsheets/d/11923uPwbBZFjjGgGUA6NLw09EwE0CqkOc4q9oUmW1yo/edit?usp=sharing"",""ลำพูน!J527"")"),257195.3)</f>
        <v>257195.3</v>
      </c>
      <c r="K632" s="341">
        <f t="shared" ca="1" si="129"/>
        <v>7.4319879119455043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IFERROR(__xludf.DUMMYFUNCTION("IMPORTRANGE(""https://docs.google.com/spreadsheets/d/11923uPwbBZFjjGgGUA6NLw09EwE0CqkOc4q9oUmW1yo/edit?usp=sharing"",""ลำพูน!I528"")"),468)</f>
        <v>468</v>
      </c>
      <c r="J633" s="340">
        <f ca="1">IFERROR(__xludf.DUMMYFUNCTION("IMPORTRANGE(""https://docs.google.com/spreadsheets/d/11923uPwbBZFjjGgGUA6NLw09EwE0CqkOc4q9oUmW1yo/edit?usp=sharing"",""ลำพูน!J528"")"),87)</f>
        <v>87</v>
      </c>
      <c r="K633" s="341">
        <f t="shared" ca="1" si="129"/>
        <v>18.589743589743591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IFERROR(__xludf.DUMMYFUNCTION("IMPORTRANGE(""https://docs.google.com/spreadsheets/d/11923uPwbBZFjjGgGUA6NLw09EwE0CqkOc4q9oUmW1yo/edit?usp=sharing"",""ลำพูน!I529"")"),7000000)</f>
        <v>7000000</v>
      </c>
      <c r="J634" s="340">
        <f ca="1">IFERROR(__xludf.DUMMYFUNCTION("IMPORTRANGE(""https://docs.google.com/spreadsheets/d/11923uPwbBZFjjGgGUA6NLw09EwE0CqkOc4q9oUmW1yo/edit?usp=sharing"",""ลำพูน!J529"")"),3760000)</f>
        <v>3760000</v>
      </c>
      <c r="K634" s="341">
        <f t="shared" ca="1" si="129"/>
        <v>53.714285714285715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IFERROR(__xludf.DUMMYFUNCTION("IMPORTRANGE(""https://docs.google.com/spreadsheets/d/11923uPwbBZFjjGgGUA6NLw09EwE0CqkOc4q9oUmW1yo/edit?usp=sharing"",""ลำพูน!I530"")"),230)</f>
        <v>230</v>
      </c>
      <c r="J635" s="504">
        <f ca="1">IFERROR(__xludf.DUMMYFUNCTION("IMPORTRANGE(""https://docs.google.com/spreadsheets/d/11923uPwbBZFjjGgGUA6NLw09EwE0CqkOc4q9oUmW1yo/edit?usp=sharing"",""ลำพูน!J530"")"),120)</f>
        <v>120</v>
      </c>
      <c r="K635" s="486">
        <f t="shared" ca="1" si="129"/>
        <v>52.173913043478258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L561" sqref="L56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266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5476748</v>
      </c>
      <c r="M8" s="23">
        <f t="shared" ca="1" si="0"/>
        <v>2867193</v>
      </c>
      <c r="N8" s="23">
        <f t="shared" ca="1" si="0"/>
        <v>2825508.4499999997</v>
      </c>
      <c r="O8" s="22">
        <f t="shared" ref="O8:O16" ca="1" si="1">IF(L8&gt;0,N8*100/L8,0)</f>
        <v>51.590988849587383</v>
      </c>
      <c r="P8" s="22">
        <f t="shared" ref="P8:P16" ca="1" si="2">IF(M8&gt;0,N8*100/M8,0)</f>
        <v>98.546154723452517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5476748</v>
      </c>
      <c r="M10" s="30">
        <f t="shared" ca="1" si="4"/>
        <v>2867193</v>
      </c>
      <c r="N10" s="30">
        <f t="shared" ca="1" si="4"/>
        <v>2825508.4499999997</v>
      </c>
      <c r="O10" s="29">
        <f t="shared" ca="1" si="1"/>
        <v>51.590988849587383</v>
      </c>
      <c r="P10" s="29">
        <f t="shared" ca="1" si="2"/>
        <v>98.546154723452517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5300748</v>
      </c>
      <c r="M12" s="39">
        <f t="shared" ca="1" si="6"/>
        <v>2691193</v>
      </c>
      <c r="N12" s="39">
        <f t="shared" ca="1" si="6"/>
        <v>2649508.4499999997</v>
      </c>
      <c r="O12" s="39">
        <f t="shared" ca="1" si="1"/>
        <v>49.983671172445845</v>
      </c>
      <c r="P12" s="39">
        <f t="shared" ca="1" si="2"/>
        <v>98.451075415252632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2053100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3247648</v>
      </c>
      <c r="M14" s="39">
        <f t="shared" si="8"/>
        <v>0</v>
      </c>
      <c r="N14" s="39">
        <f t="shared" ca="1" si="8"/>
        <v>814943.66999999981</v>
      </c>
      <c r="O14" s="39">
        <f t="shared" ca="1" si="1"/>
        <v>25.093349710313429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3474365</v>
      </c>
      <c r="M18" s="23">
        <f t="shared" ca="1" si="11"/>
        <v>2867193</v>
      </c>
      <c r="N18" s="23">
        <f t="shared" ca="1" si="11"/>
        <v>2010564.78</v>
      </c>
      <c r="O18" s="22">
        <f t="shared" ref="O18:O20" ca="1" si="12">IF(L18&gt;0,N18*100/L18,0)</f>
        <v>57.86855382206533</v>
      </c>
      <c r="P18" s="22">
        <f t="shared" ref="P18:P26" ca="1" si="13">IF(M18&gt;0,N18*100/M18,0)</f>
        <v>70.123105769301191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3474365</v>
      </c>
      <c r="M20" s="30">
        <f t="shared" ca="1" si="15"/>
        <v>2867193</v>
      </c>
      <c r="N20" s="30">
        <f t="shared" ca="1" si="15"/>
        <v>2010564.78</v>
      </c>
      <c r="O20" s="29">
        <f t="shared" ca="1" si="12"/>
        <v>57.86855382206533</v>
      </c>
      <c r="P20" s="29">
        <f t="shared" ca="1" si="13"/>
        <v>70.123105769301191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3298365</v>
      </c>
      <c r="M22" s="42">
        <f t="shared" ca="1" si="18"/>
        <v>2691193</v>
      </c>
      <c r="N22" s="39">
        <f t="shared" ca="1" si="18"/>
        <v>1834564.78</v>
      </c>
      <c r="O22" s="39">
        <f t="shared" ca="1" si="17"/>
        <v>55.620429515835873</v>
      </c>
      <c r="P22" s="39">
        <f t="shared" ca="1" si="13"/>
        <v>68.169201539986176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2053100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1245265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2002383</v>
      </c>
      <c r="M28" s="23">
        <f t="shared" si="23"/>
        <v>0</v>
      </c>
      <c r="N28" s="23">
        <f t="shared" ca="1" si="23"/>
        <v>814943.66999999981</v>
      </c>
      <c r="O28" s="22">
        <f t="shared" ref="O28:O30" ca="1" si="24">IF(L28&gt;0,N28*100/L28,0)</f>
        <v>40.698691009661978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2002383</v>
      </c>
      <c r="M30" s="30">
        <f t="shared" si="27"/>
        <v>0</v>
      </c>
      <c r="N30" s="30">
        <f t="shared" ca="1" si="27"/>
        <v>814943.66999999981</v>
      </c>
      <c r="O30" s="29">
        <f t="shared" ca="1" si="24"/>
        <v>40.698691009661978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2002383</v>
      </c>
      <c r="M32" s="39">
        <f t="shared" si="30"/>
        <v>0</v>
      </c>
      <c r="N32" s="39">
        <f t="shared" ca="1" si="30"/>
        <v>814943.66999999981</v>
      </c>
      <c r="O32" s="39">
        <f t="shared" ca="1" si="29"/>
        <v>40.698691009661978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2002383</v>
      </c>
      <c r="M34" s="39">
        <f t="shared" si="32"/>
        <v>0</v>
      </c>
      <c r="N34" s="39">
        <f t="shared" ca="1" si="32"/>
        <v>814943.66999999981</v>
      </c>
      <c r="O34" s="39">
        <f t="shared" ca="1" si="29"/>
        <v>40.698691009661978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3474365</v>
      </c>
      <c r="M37" s="55">
        <f t="shared" ca="1" si="33"/>
        <v>2867193</v>
      </c>
      <c r="N37" s="55">
        <f t="shared" ca="1" si="33"/>
        <v>2010564.78</v>
      </c>
      <c r="O37" s="56">
        <f t="shared" ca="1" si="29"/>
        <v>57.86855382206533</v>
      </c>
      <c r="P37" s="56">
        <f t="shared" ca="1" si="25"/>
        <v>70.123105769301191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777100</v>
      </c>
      <c r="M41" s="79">
        <f t="shared" ca="1" si="34"/>
        <v>635320</v>
      </c>
      <c r="N41" s="79">
        <f t="shared" ca="1" si="34"/>
        <v>407137.87</v>
      </c>
      <c r="O41" s="78">
        <f t="shared" ref="O41:O43" ca="1" si="35">IF(L41&gt;0,N41*100/L41,0)</f>
        <v>52.391953416548709</v>
      </c>
      <c r="P41" s="78">
        <f t="shared" ref="P41:P43" ca="1" si="36">IF(M41&gt;0,N41*100/M41,0)</f>
        <v>64.083905748284323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777100</v>
      </c>
      <c r="M43" s="79">
        <f t="shared" ca="1" si="38"/>
        <v>635320</v>
      </c>
      <c r="N43" s="79">
        <f t="shared" ca="1" si="38"/>
        <v>407137.87</v>
      </c>
      <c r="O43" s="78">
        <f t="shared" ca="1" si="35"/>
        <v>52.391953416548709</v>
      </c>
      <c r="P43" s="78">
        <f t="shared" ca="1" si="36"/>
        <v>64.083905748284323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751100</v>
      </c>
      <c r="M45" s="50">
        <f ca="1">IFERROR(__xludf.DUMMYFUNCTION("IMPORTRANGE(""https://docs.google.com/spreadsheets/d/1Yj_ptqi66GCucihVvJfMjLAmec39IyEx_6qawtMGysU/edit?usp=sharing"",""สบก!Q34"")"),609320)</f>
        <v>609320</v>
      </c>
      <c r="N45" s="50">
        <f ca="1">IFERROR(__xludf.DUMMYFUNCTION("IMPORTRANGE(""https://docs.google.com/spreadsheets/d/1Yj_ptqi66GCucihVvJfMjLAmec39IyEx_6qawtMGysU/edit?usp=sharing"",""สบก!R34"")"),381137.87)</f>
        <v>381137.87</v>
      </c>
      <c r="O45" s="39">
        <f ca="1">IF(L45&gt;0,N45*100/L45,0)</f>
        <v>50.743958194647853</v>
      </c>
      <c r="P45" s="39">
        <f ca="1">IF(M45&gt;0,N45*100/M45,0)</f>
        <v>62.551347403663101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IFERROR(__xludf.DUMMYFUNCTION("IMPORTRANGE(""https://docs.google.com/spreadsheets/d/1Yj_ptqi66GCucihVvJfMjLAmec39IyEx_6qawtMGysU/edit?usp=sharing"",""สบก!M34"")"),751100)</f>
        <v>751100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365963</v>
      </c>
      <c r="N53" s="121">
        <f t="shared" ca="1" si="39"/>
        <v>351958.84</v>
      </c>
      <c r="O53" s="120">
        <f t="shared" ref="O53:O55" ca="1" si="40">IF(L53&gt;0,N53*100/L53,0)</f>
        <v>78.213075555555562</v>
      </c>
      <c r="P53" s="120">
        <f t="shared" ref="P53:P55" ca="1" si="41">IF(M53&gt;0,N53*100/M53,0)</f>
        <v>96.173339927806907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365963</v>
      </c>
      <c r="N55" s="121">
        <f t="shared" ca="1" si="43"/>
        <v>351958.84</v>
      </c>
      <c r="O55" s="120">
        <f t="shared" ca="1" si="40"/>
        <v>78.213075555555562</v>
      </c>
      <c r="P55" s="120">
        <f t="shared" ca="1" si="41"/>
        <v>96.173339927806907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IFERROR(__xludf.DUMMYFUNCTION("IMPORTRANGE(""https://docs.google.com/spreadsheets/d/1Yj_ptqi66GCucihVvJfMjLAmec39IyEx_6qawtMGysU/edit?usp=sharing"",""สบก!Z34"")"),365963)</f>
        <v>365963</v>
      </c>
      <c r="N57" s="50">
        <f ca="1">IFERROR(__xludf.DUMMYFUNCTION("IMPORTRANGE(""https://docs.google.com/spreadsheets/d/1Yj_ptqi66GCucihVvJfMjLAmec39IyEx_6qawtMGysU/edit?usp=sharing"",""สบก!AA34"")"),351958.84)</f>
        <v>351958.84</v>
      </c>
      <c r="O57" s="39">
        <f ca="1">IF(L57&gt;0,N57*100/L57,0)</f>
        <v>78.213075555555562</v>
      </c>
      <c r="P57" s="39">
        <f ca="1">IF(M57&gt;0,N57*100/M57,0)</f>
        <v>96.173339927806907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IFERROR(__xludf.DUMMYFUNCTION("IMPORTRANGE(""https://docs.google.com/spreadsheets/d/1Yj_ptqi66GCucihVvJfMjLAmec39IyEx_6qawtMGysU/edit?usp=sharing"",""สบก!V34"")"),450000)</f>
        <v>450000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956800</v>
      </c>
      <c r="M66" s="152">
        <f t="shared" ca="1" si="45"/>
        <v>876720</v>
      </c>
      <c r="N66" s="152">
        <f t="shared" ca="1" si="45"/>
        <v>623170.27</v>
      </c>
      <c r="O66" s="151">
        <f t="shared" ref="O66:O68" ca="1" si="46">IF(L66&gt;0,N66*100/L66,0)</f>
        <v>65.130672031772576</v>
      </c>
      <c r="P66" s="151">
        <f t="shared" ref="P66:P68" ca="1" si="47">IF(M66&gt;0,N66*100/M66,0)</f>
        <v>71.07973697417647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956800</v>
      </c>
      <c r="M68" s="88">
        <f t="shared" ca="1" si="49"/>
        <v>876720</v>
      </c>
      <c r="N68" s="88">
        <f t="shared" ca="1" si="49"/>
        <v>623170.27</v>
      </c>
      <c r="O68" s="156">
        <f t="shared" ca="1" si="46"/>
        <v>65.130672031772576</v>
      </c>
      <c r="P68" s="156">
        <f t="shared" ca="1" si="47"/>
        <v>71.07973697417647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IFERROR(__xludf.DUMMYFUNCTION("IMPORTRANGE(""https://docs.google.com/spreadsheets/d/1Yj_ptqi66GCucihVvJfMjLAmec39IyEx_6qawtMGysU/edit?usp=sharing"",""สบก!AI34"")"),726720)</f>
        <v>726720</v>
      </c>
      <c r="N70" s="168">
        <f ca="1">IFERROR(__xludf.DUMMYFUNCTION("IMPORTRANGE(""https://docs.google.com/spreadsheets/d/1Yj_ptqi66GCucihVvJfMjLAmec39IyEx_6qawtMGysU/edit?usp=sharing"",""สบก!AJ34"")"),473170.27)</f>
        <v>473170.27</v>
      </c>
      <c r="O70" s="168">
        <f ca="1">IF(L70&gt;0,N70*100/L70,0)</f>
        <v>58.647777640059495</v>
      </c>
      <c r="P70" s="168">
        <f ca="1">IF(M70&gt;0,N70*100/M70,0)</f>
        <v>65.110396025979739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IFERROR(__xludf.DUMMYFUNCTION("IMPORTRANGE(""https://docs.google.com/spreadsheets/d/11923uPwbBZFjjGgGUA6NLw09EwE0CqkOc4q9oUmW1yo/edit?usp=sharing"",""สุโขทัย!I28"")"),0)</f>
        <v>0</v>
      </c>
      <c r="J88" s="203">
        <f ca="1">IFERROR(__xludf.DUMMYFUNCTION("IMPORTRANGE(""https://docs.google.com/spreadsheets/d/11923uPwbBZFjjGgGUA6NLw09EwE0CqkOc4q9oUmW1yo/edit?usp=sharing"",""สุโขทัย!J28"")"),0)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IFERROR(__xludf.DUMMYFUNCTION("IMPORTRANGE(""https://docs.google.com/spreadsheets/d/11923uPwbBZFjjGgGUA6NLw09EwE0CqkOc4q9oUmW1yo/edit?usp=sharing"",""สุโขทัย!J50"")"),0)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58430</v>
      </c>
      <c r="O118" s="151">
        <f t="shared" ref="O118:O120" ca="1" si="59">IF(L118&gt;0,N118*100/L118,0)</f>
        <v>70.875788452207672</v>
      </c>
      <c r="P118" s="151">
        <f t="shared" ref="P118:P120" ca="1" si="60">IF(M118&gt;0,N118*100/M118,0)</f>
        <v>70.875788452207672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58430</v>
      </c>
      <c r="O120" s="156">
        <f t="shared" ca="1" si="59"/>
        <v>70.875788452207672</v>
      </c>
      <c r="P120" s="156">
        <f t="shared" ca="1" si="60"/>
        <v>70.875788452207672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IFERROR(__xludf.DUMMYFUNCTION("IMPORTRANGE(""https://docs.google.com/spreadsheets/d/1Yj_ptqi66GCucihVvJfMjLAmec39IyEx_6qawtMGysU/edit?usp=sharing"",""สบก!BA34"")"),82440)</f>
        <v>82440</v>
      </c>
      <c r="N122" s="168">
        <f ca="1">IFERROR(__xludf.DUMMYFUNCTION("IMPORTRANGE(""https://docs.google.com/spreadsheets/d/1Yj_ptqi66GCucihVvJfMjLAmec39IyEx_6qawtMGysU/edit?usp=sharing"",""สบก!BB34"")"),58430)</f>
        <v>58430</v>
      </c>
      <c r="O122" s="168">
        <f ca="1">IF(L122&gt;0,N122*100/L122,0)</f>
        <v>70.875788452207672</v>
      </c>
      <c r="P122" s="168">
        <f ca="1">IF(M122&gt;0,N122*100/M122,0)</f>
        <v>70.875788452207672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267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IFERROR(__xludf.DUMMYFUNCTION("IMPORTRANGE(""https://docs.google.com/spreadsheets/d/11923uPwbBZFjjGgGUA6NLw09EwE0CqkOc4q9oUmW1yo/edit?usp=sharing"",""สุโขทัย!J65"")"),0)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IFERROR(__xludf.DUMMYFUNCTION("IMPORTRANGE(""https://docs.google.com/spreadsheets/d/11923uPwbBZFjjGgGUA6NLw09EwE0CqkOc4q9oUmW1yo/edit?usp=sharing"",""สุโขทัย!I68"")"),0)</f>
        <v>0</v>
      </c>
      <c r="J138" s="266">
        <f ca="1">IFERROR(__xludf.DUMMYFUNCTION("IMPORTRANGE(""https://docs.google.com/spreadsheets/d/11923uPwbBZFjjGgGUA6NLw09EwE0CqkOc4q9oUmW1yo/edit?usp=sharing"",""สุโขทัย!J68"")"),0)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69625</v>
      </c>
      <c r="N140" s="152">
        <f t="shared" ca="1" si="64"/>
        <v>44039</v>
      </c>
      <c r="O140" s="151">
        <f t="shared" ref="O140:O142" ca="1" si="65">IF(L140&gt;0,N140*100/L140,0)</f>
        <v>53.059036144578315</v>
      </c>
      <c r="P140" s="151">
        <f t="shared" ref="P140:P142" ca="1" si="66">IF(M140&gt;0,N140*100/M140,0)</f>
        <v>63.251705565529626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83000</v>
      </c>
      <c r="M142" s="88">
        <f t="shared" ca="1" si="68"/>
        <v>69625</v>
      </c>
      <c r="N142" s="88">
        <f t="shared" ca="1" si="68"/>
        <v>44039</v>
      </c>
      <c r="O142" s="156">
        <f t="shared" ca="1" si="65"/>
        <v>53.059036144578315</v>
      </c>
      <c r="P142" s="156">
        <f t="shared" ca="1" si="66"/>
        <v>63.251705565529626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83000</v>
      </c>
      <c r="M144" s="167">
        <f ca="1">IFERROR(__xludf.DUMMYFUNCTION("IMPORTRANGE(""https://docs.google.com/spreadsheets/d/1Yj_ptqi66GCucihVvJfMjLAmec39IyEx_6qawtMGysU/edit?usp=sharing"",""สบก!BJ34"")"),69625)</f>
        <v>69625</v>
      </c>
      <c r="N144" s="168">
        <f ca="1">IFERROR(__xludf.DUMMYFUNCTION("IMPORTRANGE(""https://docs.google.com/spreadsheets/d/1Yj_ptqi66GCucihVvJfMjLAmec39IyEx_6qawtMGysU/edit?usp=sharing"",""สบก!BK34"")"),44039)</f>
        <v>44039</v>
      </c>
      <c r="O144" s="168">
        <f ca="1">IF(L144&gt;0,N144*100/L144,0)</f>
        <v>53.059036144578315</v>
      </c>
      <c r="P144" s="168">
        <f ca="1">IF(M144&gt;0,N144*100/M144,0)</f>
        <v>63.251705565529626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IFERROR(__xludf.DUMMYFUNCTION("IMPORTRANGE(""https://docs.google.com/spreadsheets/d/1Yj_ptqi66GCucihVvJfMjLAmec39IyEx_6qawtMGysU/edit?usp=sharing"",""สบก!BG34"")"),83000)</f>
        <v>83000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IFERROR(__xludf.DUMMYFUNCTION("IMPORTRANGE(""https://docs.google.com/spreadsheets/d/11923uPwbBZFjjGgGUA6NLw09EwE0CqkOc4q9oUmW1yo/edit?usp=sharing"",""สุโขทัย!I74"")"),4)</f>
        <v>4</v>
      </c>
      <c r="J149" s="274">
        <f ca="1">IFERROR(__xludf.DUMMYFUNCTION("IMPORTRANGE(""https://docs.google.com/spreadsheets/d/11923uPwbBZFjjGgGUA6NLw09EwE0CqkOc4q9oUmW1yo/edit?usp=sharing"",""สุโขทัย!J74"")"),2)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IFERROR(__xludf.DUMMYFUNCTION("IMPORTRANGE(""https://docs.google.com/spreadsheets/d/11923uPwbBZFjjGgGUA6NLw09EwE0CqkOc4q9oUmW1yo/edit?usp=sharing"",""สุโขทัย!I89"")"),4)</f>
        <v>4</v>
      </c>
      <c r="J164" s="283">
        <f ca="1">IFERROR(__xludf.DUMMYFUNCTION("IMPORTRANGE(""https://docs.google.com/spreadsheets/d/11923uPwbBZFjjGgGUA6NLw09EwE0CqkOc4q9oUmW1yo/edit?usp=sharing"",""สุโขทัย!J89"")"),4)</f>
        <v>4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IFERROR(__xludf.DUMMYFUNCTION("IMPORTRANGE(""https://docs.google.com/spreadsheets/d/11923uPwbBZFjjGgGUA6NLw09EwE0CqkOc4q9oUmW1yo/edit?usp=sharing"",""สุโขทัย!I101"")"),0)</f>
        <v>0</v>
      </c>
      <c r="J176" s="283">
        <f ca="1">IFERROR(__xludf.DUMMYFUNCTION("IMPORTRANGE(""https://docs.google.com/spreadsheets/d/11923uPwbBZFjjGgGUA6NLw09EwE0CqkOc4q9oUmW1yo/edit?usp=sharing"",""สุโขทัย!J101"")"),0)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IFERROR(__xludf.DUMMYFUNCTION("IMPORTRANGE(""https://docs.google.com/spreadsheets/d/11923uPwbBZFjjGgGUA6NLw09EwE0CqkOc4q9oUmW1yo/edit?usp=sharing"",""สุโขทัย!J113"")"),0)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IFERROR(__xludf.DUMMYFUNCTION("IMPORTRANGE(""https://docs.google.com/spreadsheets/d/11923uPwbBZFjjGgGUA6NLw09EwE0CqkOc4q9oUmW1yo/edit?usp=sharing"",""สุโขทัย!I114"")"),50000)</f>
        <v>50000</v>
      </c>
      <c r="J189" s="283">
        <f ca="1">IFERROR(__xludf.DUMMYFUNCTION("IMPORTRANGE(""https://docs.google.com/spreadsheets/d/11923uPwbBZFjjGgGUA6NLw09EwE0CqkOc4q9oUmW1yo/edit?usp=sharing"",""สุโขทัย!J114"")"),0)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IFERROR(__xludf.DUMMYFUNCTION("IMPORTRANGE(""https://docs.google.com/spreadsheets/d/11923uPwbBZFjjGgGUA6NLw09EwE0CqkOc4q9oUmW1yo/edit?usp=sharing"",""สุโขทัย!J128"")"),0)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IFERROR(__xludf.DUMMYFUNCTION("IMPORTRANGE(""https://docs.google.com/spreadsheets/d/11923uPwbBZFjjGgGUA6NLw09EwE0CqkOc4q9oUmW1yo/edit?usp=sharing"",""สุโขทัย!I129"")"),0)</f>
        <v>0</v>
      </c>
      <c r="J204" s="283">
        <f ca="1">IFERROR(__xludf.DUMMYFUNCTION("IMPORTRANGE(""https://docs.google.com/spreadsheets/d/11923uPwbBZFjjGgGUA6NLw09EwE0CqkOc4q9oUmW1yo/edit?usp=sharing"",""สุโขทัย!J129"")"),0)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IFERROR(__xludf.DUMMYFUNCTION("IMPORTRANGE(""https://docs.google.com/spreadsheets/d/11923uPwbBZFjjGgGUA6NLw09EwE0CqkOc4q9oUmW1yo/edit?usp=sharing"",""สุโขทัย!J143"")"),0)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IFERROR(__xludf.DUMMYFUNCTION("IMPORTRANGE(""https://docs.google.com/spreadsheets/d/11923uPwbBZFjjGgGUA6NLw09EwE0CqkOc4q9oUmW1yo/edit?usp=sharing"",""สุโขทัย!I144"")"),13)</f>
        <v>13</v>
      </c>
      <c r="J219" s="266">
        <f ca="1">IFERROR(__xludf.DUMMYFUNCTION("IMPORTRANGE(""https://docs.google.com/spreadsheets/d/11923uPwbBZFjjGgGUA6NLw09EwE0CqkOc4q9oUmW1yo/edit?usp=sharing"",""สุโขทัย!J144"")"),13)</f>
        <v>13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17775</v>
      </c>
      <c r="O220" s="151">
        <f t="shared" ref="O220:O222" ca="1" si="73">IF(L220&gt;0,N220*100/L220,0)</f>
        <v>92.122311479657938</v>
      </c>
      <c r="P220" s="151">
        <f t="shared" ref="P220:P222" ca="1" si="74">IF(M220&gt;0,N220*100/M220,0)</f>
        <v>92.122311479657938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17775</v>
      </c>
      <c r="O222" s="156">
        <f t="shared" ca="1" si="73"/>
        <v>92.122311479657938</v>
      </c>
      <c r="P222" s="156">
        <f t="shared" ca="1" si="74"/>
        <v>92.122311479657938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IFERROR(__xludf.DUMMYFUNCTION("IMPORTRANGE(""https://docs.google.com/spreadsheets/d/1Yj_ptqi66GCucihVvJfMjLAmec39IyEx_6qawtMGysU/edit?usp=sharing"",""สบก!BT34"")"),17775)</f>
        <v>17775</v>
      </c>
      <c r="O224" s="168">
        <f ca="1">IF(L224&gt;0,N224*100/L224,0)</f>
        <v>92.122311479657938</v>
      </c>
      <c r="P224" s="168">
        <f ca="1">IF(M224&gt;0,N224*100/M224,0)</f>
        <v>92.122311479657938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IFERROR(__xludf.DUMMYFUNCTION("IMPORTRANGE(""https://docs.google.com/spreadsheets/d/11923uPwbBZFjjGgGUA6NLw09EwE0CqkOc4q9oUmW1yo/edit?usp=sharing"",""สุโขทัย!I149"")"),13)</f>
        <v>13</v>
      </c>
      <c r="J229" s="266">
        <f ca="1">IFERROR(__xludf.DUMMYFUNCTION("IMPORTRANGE(""https://docs.google.com/spreadsheets/d/11923uPwbBZFjjGgGUA6NLw09EwE0CqkOc4q9oUmW1yo/edit?usp=sharing"",""สุโขทัย!J149"")"),13)</f>
        <v>13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IFERROR(__xludf.DUMMYFUNCTION("IMPORTRANGE(""https://docs.google.com/spreadsheets/d/11923uPwbBZFjjGgGUA6NLw09EwE0CqkOc4q9oUmW1yo/edit?usp=sharing"",""สุโขทัย!I158"")"),0)</f>
        <v>0</v>
      </c>
      <c r="J238" s="266">
        <f ca="1">IFERROR(__xludf.DUMMYFUNCTION("IMPORTRANGE(""https://docs.google.com/spreadsheets/d/11923uPwbBZFjjGgGUA6NLw09EwE0CqkOc4q9oUmW1yo/edit?usp=sharing"",""สุโขทัย!J158"")"),0)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IFERROR(__xludf.DUMMYFUNCTION("IMPORTRANGE(""https://docs.google.com/spreadsheets/d/11923uPwbBZFjjGgGUA6NLw09EwE0CqkOc4q9oUmW1yo/edit?usp=sharing"",""สุโขทัย!J166"")"),0)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IFERROR(__xludf.DUMMYFUNCTION("IMPORTRANGE(""https://docs.google.com/spreadsheets/d/11923uPwbBZFjjGgGUA6NLw09EwE0CqkOc4q9oUmW1yo/edit?usp=sharing"",""สุโขทัย!I169"")"),0)</f>
        <v>0</v>
      </c>
      <c r="J249" s="315">
        <f ca="1">IFERROR(__xludf.DUMMYFUNCTION("IMPORTRANGE(""https://docs.google.com/spreadsheets/d/11923uPwbBZFjjGgGUA6NLw09EwE0CqkOc4q9oUmW1yo/edit?usp=sharing"",""สุโขทัย!J169"")"),0)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IFERROR(__xludf.DUMMYFUNCTION("IMPORTRANGE(""https://docs.google.com/spreadsheets/d/11923uPwbBZFjjGgGUA6NLw09EwE0CqkOc4q9oUmW1yo/edit?usp=sharing"",""สุโขทัย!J184"")"),0)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IFERROR(__xludf.DUMMYFUNCTION("IMPORTRANGE(""https://docs.google.com/spreadsheets/d/11923uPwbBZFjjGgGUA6NLw09EwE0CqkOc4q9oUmW1yo/edit?usp=sharing"",""สุโขทัย!I185"")"),15)</f>
        <v>15</v>
      </c>
      <c r="J270" s="315">
        <f ca="1">IFERROR(__xludf.DUMMYFUNCTION("IMPORTRANGE(""https://docs.google.com/spreadsheets/d/11923uPwbBZFjjGgGUA6NLw09EwE0CqkOc4q9oUmW1yo/edit?usp=sharing"",""สุโขทัย!J185"")"),15)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179000</v>
      </c>
      <c r="N271" s="152">
        <f t="shared" ca="1" si="83"/>
        <v>111115.48</v>
      </c>
      <c r="O271" s="151">
        <f t="shared" ref="O271:O273" ca="1" si="84">IF(L271&gt;0,N271*100/L271,0)</f>
        <v>46.746100126209505</v>
      </c>
      <c r="P271" s="151">
        <f t="shared" ref="P271:P273" ca="1" si="85">IF(M271&gt;0,N271*100/M271,0)</f>
        <v>62.075687150837986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179000</v>
      </c>
      <c r="N273" s="88">
        <f t="shared" ca="1" si="87"/>
        <v>111115.48</v>
      </c>
      <c r="O273" s="156">
        <f t="shared" ca="1" si="84"/>
        <v>46.746100126209505</v>
      </c>
      <c r="P273" s="156">
        <f t="shared" ca="1" si="85"/>
        <v>62.075687150837986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IFERROR(__xludf.DUMMYFUNCTION("IMPORTRANGE(""https://docs.google.com/spreadsheets/d/1Yj_ptqi66GCucihVvJfMjLAmec39IyEx_6qawtMGysU/edit?usp=sharing"",""สบก!CK34"")"),179000)</f>
        <v>179000</v>
      </c>
      <c r="N275" s="168">
        <f ca="1">IFERROR(__xludf.DUMMYFUNCTION("IMPORTRANGE(""https://docs.google.com/spreadsheets/d/1Yj_ptqi66GCucihVvJfMjLAmec39IyEx_6qawtMGysU/edit?usp=sharing"",""สบก!CL34"")"),111115.48)</f>
        <v>111115.48</v>
      </c>
      <c r="O275" s="168">
        <f ca="1">IF(L275&gt;0,N275*100/L275,0)</f>
        <v>46.746100126209505</v>
      </c>
      <c r="P275" s="168">
        <f ca="1">IF(M275&gt;0,N275*100/M275,0)</f>
        <v>62.075687150837986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IFERROR(__xludf.DUMMYFUNCTION("IMPORTRANGE(""https://docs.google.com/spreadsheets/d/11923uPwbBZFjjGgGUA6NLw09EwE0CqkOc4q9oUmW1yo/edit?usp=sharing"",""สุโขทัย!I199"")"),0)</f>
        <v>0</v>
      </c>
      <c r="J289" s="315">
        <f ca="1">IFERROR(__xludf.DUMMYFUNCTION("IMPORTRANGE(""https://docs.google.com/spreadsheets/d/11923uPwbBZFjjGgGUA6NLw09EwE0CqkOc4q9oUmW1yo/edit?usp=sharing"",""สุโขทัย!J199"")"),0)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IFERROR(__xludf.DUMMYFUNCTION("IMPORTRANGE(""https://docs.google.com/spreadsheets/d/11923uPwbBZFjjGgGUA6NLw09EwE0CqkOc4q9oUmW1yo/edit?usp=sharing"",""สุโขทัย!J213"")"),0)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IFERROR(__xludf.DUMMYFUNCTION("IMPORTRANGE(""https://docs.google.com/spreadsheets/d/11923uPwbBZFjjGgGUA6NLw09EwE0CqkOc4q9oUmW1yo/edit?usp=sharing"",""สุโขทัย!I214"")"),0)</f>
        <v>0</v>
      </c>
      <c r="J309" s="332">
        <f ca="1">IFERROR(__xludf.DUMMYFUNCTION("IMPORTRANGE(""https://docs.google.com/spreadsheets/d/11923uPwbBZFjjGgGUA6NLw09EwE0CqkOc4q9oUmW1yo/edit?usp=sharing"",""สุโขทัย!J214"")"),0)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IFERROR(__xludf.DUMMYFUNCTION("IMPORTRANGE(""https://docs.google.com/spreadsheets/d/11923uPwbBZFjjGgGUA6NLw09EwE0CqkOc4q9oUmW1yo/edit?usp=sharing"",""สุโขทัย!J226"")"),0)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IFERROR(__xludf.DUMMYFUNCTION("IMPORTRANGE(""https://docs.google.com/spreadsheets/d/11923uPwbBZFjjGgGUA6NLw09EwE0CqkOc4q9oUmW1yo/edit?usp=sharing"",""สุโขทัย!I228"")"),270)</f>
        <v>270</v>
      </c>
      <c r="J328" s="338">
        <f ca="1">IFERROR(__xludf.DUMMYFUNCTION("IMPORTRANGE(""https://docs.google.com/spreadsheets/d/11923uPwbBZFjjGgGUA6NLw09EwE0CqkOc4q9oUmW1yo/edit?usp=sharing"",""สุโขทัย!J228"")"),138)</f>
        <v>138</v>
      </c>
      <c r="K328" s="316">
        <f ca="1">IF(I328&gt;0,J328*100/I328,0)</f>
        <v>51.111111111111114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638830</v>
      </c>
      <c r="N329" s="152">
        <f t="shared" ca="1" si="98"/>
        <v>396938.32</v>
      </c>
      <c r="O329" s="151">
        <f t="shared" ref="O329:O331" ca="1" si="99">IF(L329&gt;0,N329*100/L329,0)</f>
        <v>45.728640715182657</v>
      </c>
      <c r="P329" s="151">
        <f t="shared" ref="P329:P331" ca="1" si="100">IF(M329&gt;0,N329*100/M329,0)</f>
        <v>62.135203418749903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638830</v>
      </c>
      <c r="N331" s="88">
        <f t="shared" ca="1" si="102"/>
        <v>396938.32</v>
      </c>
      <c r="O331" s="156">
        <f t="shared" ca="1" si="99"/>
        <v>45.728640715182657</v>
      </c>
      <c r="P331" s="156">
        <f t="shared" ca="1" si="100"/>
        <v>62.135203418749903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IFERROR(__xludf.DUMMYFUNCTION("IMPORTRANGE(""https://docs.google.com/spreadsheets/d/1Yj_ptqi66GCucihVvJfMjLAmec39IyEx_6qawtMGysU/edit?usp=sharing"",""สบก!DL34"")"),638830)</f>
        <v>638830</v>
      </c>
      <c r="N333" s="168">
        <f ca="1">IFERROR(__xludf.DUMMYFUNCTION("IMPORTRANGE(""https://docs.google.com/spreadsheets/d/1Yj_ptqi66GCucihVvJfMjLAmec39IyEx_6qawtMGysU/edit?usp=sharing"",""สบก!DM34"")"),396938.32)</f>
        <v>396938.32</v>
      </c>
      <c r="O333" s="168">
        <f ca="1">IF(L333&gt;0,N333*100/L333,0)</f>
        <v>45.728640715182657</v>
      </c>
      <c r="P333" s="168">
        <f ca="1">IF(M333&gt;0,N333*100/M333,0)</f>
        <v>62.135203418749903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IFERROR(__xludf.DUMMYFUNCTION("IMPORTRANGE(""https://docs.google.com/spreadsheets/d/11923uPwbBZFjjGgGUA6NLw09EwE0CqkOc4q9oUmW1yo/edit?usp=sharing"",""สุโขทัย!J234"")"),99)</f>
        <v>99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IFERROR(__xludf.DUMMYFUNCTION("IMPORTRANGE(""https://docs.google.com/spreadsheets/d/11923uPwbBZFjjGgGUA6NLw09EwE0CqkOc4q9oUmW1yo/edit?usp=sharing"",""สุโขทัย!J235"")"),884.629999999999)</f>
        <v>884.62999999999897</v>
      </c>
      <c r="K340" s="341">
        <f t="shared" ca="1" si="103"/>
        <v>61.432638888888818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IFERROR(__xludf.DUMMYFUNCTION("IMPORTRANGE(""https://docs.google.com/spreadsheets/d/11923uPwbBZFjjGgGUA6NLw09EwE0CqkOc4q9oUmW1yo/edit?usp=sharing"",""สุโขทัย!J236"")"),217)</f>
        <v>217</v>
      </c>
      <c r="K341" s="341">
        <f t="shared" ca="1" si="103"/>
        <v>80.370370370370367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IFERROR(__xludf.DUMMYFUNCTION("IMPORTRANGE(""https://docs.google.com/spreadsheets/d/11923uPwbBZFjjGgGUA6NLw09EwE0CqkOc4q9oUmW1yo/edit?usp=sharing"",""สุโขทัย!J237"")"),2542.55)</f>
        <v>2542.5500000000002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IFERROR(__xludf.DUMMYFUNCTION("IMPORTRANGE(""https://docs.google.com/spreadsheets/d/11923uPwbBZFjjGgGUA6NLw09EwE0CqkOc4q9oUmW1yo/edit?usp=sharing"",""สุโขทัย!J240"")"),138)</f>
        <v>138</v>
      </c>
      <c r="K345" s="341">
        <f t="shared" ca="1" si="103"/>
        <v>51.111111111111114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IFERROR(__xludf.DUMMYFUNCTION("IMPORTRANGE(""https://docs.google.com/spreadsheets/d/11923uPwbBZFjjGgGUA6NLw09EwE0CqkOc4q9oUmW1yo/edit?usp=sharing"",""สุโขทัย!J241"")"),1872.74)</f>
        <v>1872.74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IFERROR(__xludf.DUMMYFUNCTION("IMPORTRANGE(""https://docs.google.com/spreadsheets/d/11923uPwbBZFjjGgGUA6NLw09EwE0CqkOc4q9oUmW1yo/edit?usp=sharing"",""สุโขทัย!L242"")"),2002383)</f>
        <v>2002383</v>
      </c>
      <c r="M347" s="357"/>
      <c r="N347" s="357">
        <f ca="1">IFERROR(__xludf.DUMMYFUNCTION("IMPORTRANGE(""https://docs.google.com/spreadsheets/d/11923uPwbBZFjjGgGUA6NLw09EwE0CqkOc4q9oUmW1yo/edit?usp=sharing"",""สุโขทัย!M242"")"),814943.669999999)</f>
        <v>814943.66999999899</v>
      </c>
      <c r="O347" s="357">
        <f ca="1">+IF(L347&gt;0,N347*100/L347,0)</f>
        <v>40.698691009661935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IFERROR(__xludf.DUMMYFUNCTION("IMPORTRANGE(""https://docs.google.com/spreadsheets/d/11923uPwbBZFjjGgGUA6NLw09EwE0CqkOc4q9oUmW1yo/edit?usp=sharing"",""สุโขทัย!M244"")"),162300)</f>
        <v>162300</v>
      </c>
      <c r="O349" s="372">
        <f ca="1">+IF(L349&gt;0,N349*100/L349,0)</f>
        <v>44.213795357960116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IFERROR(__xludf.DUMMYFUNCTION("IMPORTRANGE(""https://docs.google.com/spreadsheets/d/11923uPwbBZFjjGgGUA6NLw09EwE0CqkOc4q9oUmW1yo/edit?usp=sharing"",""สุโขทัย!M247"")"),162300)</f>
        <v>162300</v>
      </c>
      <c r="O352" s="165">
        <f t="shared" ca="1" si="105"/>
        <v>44.213795357960116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IFERROR(__xludf.DUMMYFUNCTION("IMPORTRANGE(""https://docs.google.com/spreadsheets/d/11923uPwbBZFjjGgGUA6NLw09EwE0CqkOc4q9oUmW1yo/edit?usp=sharing"",""สุโขทัย!M249"")"),162300)</f>
        <v>162300</v>
      </c>
      <c r="O354" s="168">
        <f t="shared" ca="1" si="105"/>
        <v>44.213795357960116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IFERROR(__xludf.DUMMYFUNCTION("IMPORTRANGE(""https://docs.google.com/spreadsheets/d/11923uPwbBZFjjGgGUA6NLw09EwE0CqkOc4q9oUmW1yo/edit?usp=sharing"",""สุโขทัย!M252"")"),55000)</f>
        <v>55000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IFERROR(__xludf.DUMMYFUNCTION("IMPORTRANGE(""https://docs.google.com/spreadsheets/d/11923uPwbBZFjjGgGUA6NLw09EwE0CqkOc4q9oUmW1yo/edit?usp=sharing"",""สุโขทัย!M253"")"),11300)</f>
        <v>11300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IFERROR(__xludf.DUMMYFUNCTION("IMPORTRANGE(""https://docs.google.com/spreadsheets/d/11923uPwbBZFjjGgGUA6NLw09EwE0CqkOc4q9oUmW1yo/edit?usp=sharing"",""สุโขทัย!M275"")"),48320)</f>
        <v>48320</v>
      </c>
      <c r="O380" s="372">
        <f ca="1">+IF(L380&gt;0,N380*100/L380,0)</f>
        <v>23.280015417228753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IFERROR(__xludf.DUMMYFUNCTION("IMPORTRANGE(""https://docs.google.com/spreadsheets/d/11923uPwbBZFjjGgGUA6NLw09EwE0CqkOc4q9oUmW1yo/edit?usp=sharing"",""สุโขทัย!M278"")"),48320)</f>
        <v>48320</v>
      </c>
      <c r="O383" s="165">
        <f t="shared" ca="1" si="109"/>
        <v>23.280015417228753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IFERROR(__xludf.DUMMYFUNCTION("IMPORTRANGE(""https://docs.google.com/spreadsheets/d/11923uPwbBZFjjGgGUA6NLw09EwE0CqkOc4q9oUmW1yo/edit?usp=sharing"",""สุโขทัย!M280"")"),48320)</f>
        <v>48320</v>
      </c>
      <c r="O385" s="168">
        <f t="shared" ca="1" si="109"/>
        <v>23.280015417228753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IFERROR(__xludf.DUMMYFUNCTION("IMPORTRANGE(""https://docs.google.com/spreadsheets/d/11923uPwbBZFjjGgGUA6NLw09EwE0CqkOc4q9oUmW1yo/edit?usp=sharing"",""สุโขทัย!M281"")"),47200)</f>
        <v>47200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IFERROR(__xludf.DUMMYFUNCTION("IMPORTRANGE(""https://docs.google.com/spreadsheets/d/11923uPwbBZFjjGgGUA6NLw09EwE0CqkOc4q9oUmW1yo/edit?usp=sharing"",""สุโขทัย!M284"")"),1120)</f>
        <v>1120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IFERROR(__xludf.DUMMYFUNCTION("IMPORTRANGE(""https://docs.google.com/spreadsheets/d/11923uPwbBZFjjGgGUA6NLw09EwE0CqkOc4q9oUmW1yo/edit?usp=sharing"",""สุโขทัย!M296"")"),264665)</f>
        <v>264665</v>
      </c>
      <c r="O401" s="372">
        <f ca="1">+IF(L401&gt;0,N401*100/L401,0)</f>
        <v>87.943179930220964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IFERROR(__xludf.DUMMYFUNCTION("IMPORTRANGE(""https://docs.google.com/spreadsheets/d/11923uPwbBZFjjGgGUA6NLw09EwE0CqkOc4q9oUmW1yo/edit?usp=sharing"",""สุโขทัย!M299"")"),264665)</f>
        <v>264665</v>
      </c>
      <c r="O404" s="168">
        <f t="shared" ca="1" si="112"/>
        <v>87.943179930220964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IFERROR(__xludf.DUMMYFUNCTION("IMPORTRANGE(""https://docs.google.com/spreadsheets/d/11923uPwbBZFjjGgGUA6NLw09EwE0CqkOc4q9oUmW1yo/edit?usp=sharing"",""สุโขทัย!M301"")"),264665)</f>
        <v>264665</v>
      </c>
      <c r="O406" s="168">
        <f t="shared" ca="1" si="112"/>
        <v>87.943179930220964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IFERROR(__xludf.DUMMYFUNCTION("IMPORTRANGE(""https://docs.google.com/spreadsheets/d/11923uPwbBZFjjGgGUA6NLw09EwE0CqkOc4q9oUmW1yo/edit?usp=sharing"",""สุโขทัย!M302"")"),191050)</f>
        <v>191050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IFERROR(__xludf.DUMMYFUNCTION("IMPORTRANGE(""https://docs.google.com/spreadsheets/d/11923uPwbBZFjjGgGUA6NLw09EwE0CqkOc4q9oUmW1yo/edit?usp=sharing"",""สุโขทัย!M303"")"),51650)</f>
        <v>51650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IFERROR(__xludf.DUMMYFUNCTION("IMPORTRANGE(""https://docs.google.com/spreadsheets/d/11923uPwbBZFjjGgGUA6NLw09EwE0CqkOc4q9oUmW1yo/edit?usp=sharing"",""สุโขทัย!M305"")"),21965)</f>
        <v>21965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IFERROR(__xludf.DUMMYFUNCTION("IMPORTRANGE(""https://docs.google.com/spreadsheets/d/11923uPwbBZFjjGgGUA6NLw09EwE0CqkOc4q9oUmW1yo/edit?usp=sharing"",""สุโขทัย!M330"")"),177460)</f>
        <v>177460</v>
      </c>
      <c r="O435" s="411">
        <f t="shared" ref="O435:O439" ca="1" si="114">+IF(L435&gt;0,N435*100/L435,0)</f>
        <v>79.578475336322867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IFERROR(__xludf.DUMMYFUNCTION("IMPORTRANGE(""https://docs.google.com/spreadsheets/d/11923uPwbBZFjjGgGUA6NLw09EwE0CqkOc4q9oUmW1yo/edit?usp=sharing"",""สุโขทัย!M332"")"),177460)</f>
        <v>177460</v>
      </c>
      <c r="O437" s="168">
        <f t="shared" ca="1" si="114"/>
        <v>79.578475336322867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IFERROR(__xludf.DUMMYFUNCTION("IMPORTRANGE(""https://docs.google.com/spreadsheets/d/11923uPwbBZFjjGgGUA6NLw09EwE0CqkOc4q9oUmW1yo/edit?usp=sharing"",""สุโขทัย!M334"")"),177460)</f>
        <v>177460</v>
      </c>
      <c r="O439" s="168">
        <f t="shared" ca="1" si="114"/>
        <v>79.578475336322867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IFERROR(__xludf.DUMMYFUNCTION("IMPORTRANGE(""https://docs.google.com/spreadsheets/d/11923uPwbBZFjjGgGUA6NLw09EwE0CqkOc4q9oUmW1yo/edit?usp=sharing"",""สุโขทัย!M338"")"),10260)</f>
        <v>10260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IFERROR(__xludf.DUMMYFUNCTION("IMPORTRANGE(""https://docs.google.com/spreadsheets/d/11923uPwbBZFjjGgGUA6NLw09EwE0CqkOc4q9oUmW1yo/edit?usp=sharing"",""สุโขทัย!J350"")"),30832)</f>
        <v>30832</v>
      </c>
      <c r="K455" s="371">
        <f ca="1">IF(I455&gt;0,J455*100/I455,0)</f>
        <v>86.1204994273903</v>
      </c>
      <c r="L455" s="372">
        <f ca="1">IFERROR(__xludf.DUMMYFUNCTION("IMPORTRANGE(""https://docs.google.com/spreadsheets/d/11923uPwbBZFjjGgGUA6NLw09EwE0CqkOc4q9oUmW1yo/edit?usp=sharing"",""สุโขทัย!L350"")"),423723)</f>
        <v>423723</v>
      </c>
      <c r="M455" s="372"/>
      <c r="N455" s="372">
        <f ca="1">IFERROR(__xludf.DUMMYFUNCTION("IMPORTRANGE(""https://docs.google.com/spreadsheets/d/11923uPwbBZFjjGgGUA6NLw09EwE0CqkOc4q9oUmW1yo/edit?usp=sharing"",""สุโขทัย!M350"")"),90223.19)</f>
        <v>90223.19</v>
      </c>
      <c r="O455" s="372">
        <f t="shared" ref="O455:O459" ca="1" si="116">+IF(L455&gt;0,N455*100/L455,0)</f>
        <v>21.292964979479517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IFERROR(__xludf.DUMMYFUNCTION("IMPORTRANGE(""https://docs.google.com/spreadsheets/d/11923uPwbBZFjjGgGUA6NLw09EwE0CqkOc4q9oUmW1yo/edit?usp=sharing"",""สุโขทัย!L352"")"),423723)</f>
        <v>423723</v>
      </c>
      <c r="M457" s="165"/>
      <c r="N457" s="168">
        <f ca="1">IFERROR(__xludf.DUMMYFUNCTION("IMPORTRANGE(""https://docs.google.com/spreadsheets/d/11923uPwbBZFjjGgGUA6NLw09EwE0CqkOc4q9oUmW1yo/edit?usp=sharing"",""สุโขทัย!M352"")"),90223.19)</f>
        <v>90223.19</v>
      </c>
      <c r="O457" s="168">
        <f t="shared" ca="1" si="116"/>
        <v>21.292964979479517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IFERROR(__xludf.DUMMYFUNCTION("IMPORTRANGE(""https://docs.google.com/spreadsheets/d/11923uPwbBZFjjGgGUA6NLw09EwE0CqkOc4q9oUmW1yo/edit?usp=sharing"",""สุโขทัย!L354"")"),423723)</f>
        <v>423723</v>
      </c>
      <c r="M459" s="168"/>
      <c r="N459" s="168">
        <f ca="1">IFERROR(__xludf.DUMMYFUNCTION("IMPORTRANGE(""https://docs.google.com/spreadsheets/d/11923uPwbBZFjjGgGUA6NLw09EwE0CqkOc4q9oUmW1yo/edit?usp=sharing"",""สุโขทัย!M354"")"),90223.19)</f>
        <v>90223.19</v>
      </c>
      <c r="O459" s="168">
        <f t="shared" ca="1" si="116"/>
        <v>21.292964979479517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IFERROR(__xludf.DUMMYFUNCTION("IMPORTRANGE(""https://docs.google.com/spreadsheets/d/11923uPwbBZFjjGgGUA6NLw09EwE0CqkOc4q9oUmW1yo/edit?usp=sharing"",""สุโขทัย!M357"")"),55000)</f>
        <v>55000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IFERROR(__xludf.DUMMYFUNCTION("IMPORTRANGE(""https://docs.google.com/spreadsheets/d/11923uPwbBZFjjGgGUA6NLw09EwE0CqkOc4q9oUmW1yo/edit?usp=sharing"",""สุโขทัย!M358"")"),35223.19)</f>
        <v>35223.19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IFERROR(__xludf.DUMMYFUNCTION("IMPORTRANGE(""https://docs.google.com/spreadsheets/d/11923uPwbBZFjjGgGUA6NLw09EwE0CqkOc4q9oUmW1yo/edit?usp=sharing"",""สุโขทัย!I359"")"),35801)</f>
        <v>35801</v>
      </c>
      <c r="J464" s="266">
        <f ca="1">IFERROR(__xludf.DUMMYFUNCTION("IMPORTRANGE(""https://docs.google.com/spreadsheets/d/11923uPwbBZFjjGgGUA6NLw09EwE0CqkOc4q9oUmW1yo/edit?usp=sharing"",""สุโขทัย!J359"")"),30832)</f>
        <v>30832</v>
      </c>
      <c r="K464" s="267">
        <f t="shared" ref="K464:K515" ca="1" si="117">IF(I464&gt;0,J464*100/I464,0)</f>
        <v>86.1204994273903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IFERROR(__xludf.DUMMYFUNCTION("IMPORTRANGE(""https://docs.google.com/spreadsheets/d/11923uPwbBZFjjGgGUA6NLw09EwE0CqkOc4q9oUmW1yo/edit?usp=sharing"",""สุโขทัย!J376"")"),30832)</f>
        <v>30832</v>
      </c>
      <c r="K481" s="201">
        <f t="shared" ca="1" si="117"/>
        <v>86.1204994273903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IFERROR(__xludf.DUMMYFUNCTION("IMPORTRANGE(""https://docs.google.com/spreadsheets/d/11923uPwbBZFjjGgGUA6NLw09EwE0CqkOc4q9oUmW1yo/edit?usp=sharing"",""สุโขทัย!J377"")"),4045)</f>
        <v>4045</v>
      </c>
      <c r="K482" s="201">
        <f t="shared" ca="1" si="117"/>
        <v>88.357361293141111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IFERROR(__xludf.DUMMYFUNCTION("IMPORTRANGE(""https://docs.google.com/spreadsheets/d/11923uPwbBZFjjGgGUA6NLw09EwE0CqkOc4q9oUmW1yo/edit?usp=sharing"",""สุโขทัย!I411"")"),0)</f>
        <v>0</v>
      </c>
      <c r="J516" s="266">
        <f ca="1">IFERROR(__xludf.DUMMYFUNCTION("IMPORTRANGE(""https://docs.google.com/spreadsheets/d/11923uPwbBZFjjGgGUA6NLw09EwE0CqkOc4q9oUmW1yo/edit?usp=sharing"",""สุโขทัย!J411"")"),0)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IFERROR(__xludf.DUMMYFUNCTION("IMPORTRANGE(""https://docs.google.com/spreadsheets/d/11923uPwbBZFjjGgGUA6NLw09EwE0CqkOc4q9oUmW1yo/edit?usp=sharing"",""สุโขทัย!I412"")"),0)</f>
        <v>0</v>
      </c>
      <c r="J517" s="283">
        <f ca="1">IFERROR(__xludf.DUMMYFUNCTION("IMPORTRANGE(""https://docs.google.com/spreadsheets/d/11923uPwbBZFjjGgGUA6NLw09EwE0CqkOc4q9oUmW1yo/edit?usp=sharing"",""สุโขทัย!J412"")"),0)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IFERROR(__xludf.DUMMYFUNCTION("IMPORTRANGE(""https://docs.google.com/spreadsheets/d/11923uPwbBZFjjGgGUA6NLw09EwE0CqkOc4q9oUmW1yo/edit?usp=sharing"",""สุโขทัย!I413"")"),0)</f>
        <v>0</v>
      </c>
      <c r="J518" s="283">
        <f ca="1">IFERROR(__xludf.DUMMYFUNCTION("IMPORTRANGE(""https://docs.google.com/spreadsheets/d/11923uPwbBZFjjGgGUA6NLw09EwE0CqkOc4q9oUmW1yo/edit?usp=sharing"",""สุโขทัย!J413"")"),0)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IFERROR(__xludf.DUMMYFUNCTION("IMPORTRANGE(""https://docs.google.com/spreadsheets/d/11923uPwbBZFjjGgGUA6NLw09EwE0CqkOc4q9oUmW1yo/edit?usp=sharing"",""สุโขทัย!I420"")"),12)</f>
        <v>12</v>
      </c>
      <c r="J525" s="283">
        <f ca="1">IFERROR(__xludf.DUMMYFUNCTION("IMPORTRANGE(""https://docs.google.com/spreadsheets/d/11923uPwbBZFjjGgGUA6NLw09EwE0CqkOc4q9oUmW1yo/edit?usp=sharing"",""สุโขทัย!J420"")"),12)</f>
        <v>12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IFERROR(__xludf.DUMMYFUNCTION("IMPORTRANGE(""https://docs.google.com/spreadsheets/d/11923uPwbBZFjjGgGUA6NLw09EwE0CqkOc4q9oUmW1yo/edit?usp=sharing"",""สุโขทัย!I421"")"),2)</f>
        <v>2</v>
      </c>
      <c r="J526" s="283">
        <f ca="1">IFERROR(__xludf.DUMMYFUNCTION("IMPORTRANGE(""https://docs.google.com/spreadsheets/d/11923uPwbBZFjjGgGUA6NLw09EwE0CqkOc4q9oUmW1yo/edit?usp=sharing"",""สุโขทัย!J421"")"),2)</f>
        <v>2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IFERROR(__xludf.DUMMYFUNCTION("IMPORTRANGE(""https://docs.google.com/spreadsheets/d/11923uPwbBZFjjGgGUA6NLw09EwE0CqkOc4q9oUmW1yo/edit?usp=sharing"",""สุโขทัย!J459"")"),3501)</f>
        <v>3501</v>
      </c>
      <c r="K564" s="371">
        <f ca="1">IF(I564&gt;0,J564*100/I564,0)</f>
        <v>166.71428571428572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IFERROR(__xludf.DUMMYFUNCTION("IMPORTRANGE(""https://docs.google.com/spreadsheets/d/11923uPwbBZFjjGgGUA6NLw09EwE0CqkOc4q9oUmW1yo/edit?usp=sharing"",""สุโขทัย!M459"")"),53235.4799999999)</f>
        <v>53235.479999999901</v>
      </c>
      <c r="O564" s="372">
        <f t="shared" ref="O564:O568" ca="1" si="122">+IF(L564&gt;0,N564*100/L564,0)</f>
        <v>37.426518560179908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IFERROR(__xludf.DUMMYFUNCTION("IMPORTRANGE(""https://docs.google.com/spreadsheets/d/11923uPwbBZFjjGgGUA6NLw09EwE0CqkOc4q9oUmW1yo/edit?usp=sharing"",""สุโขทัย!M461"")"),53235.4799999999)</f>
        <v>53235.479999999901</v>
      </c>
      <c r="O566" s="168">
        <f t="shared" ca="1" si="122"/>
        <v>37.426518560179908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IFERROR(__xludf.DUMMYFUNCTION("IMPORTRANGE(""https://docs.google.com/spreadsheets/d/11923uPwbBZFjjGgGUA6NLw09EwE0CqkOc4q9oUmW1yo/edit?usp=sharing"",""สุโขทัย!M463"")"),53235.4799999999)</f>
        <v>53235.479999999901</v>
      </c>
      <c r="O568" s="168">
        <f t="shared" ca="1" si="122"/>
        <v>37.426518560179908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IFERROR(__xludf.DUMMYFUNCTION("IMPORTRANGE(""https://docs.google.com/spreadsheets/d/11923uPwbBZFjjGgGUA6NLw09EwE0CqkOc4q9oUmW1yo/edit?usp=sharing"",""สุโขทัย!M466"")"),31935.48)</f>
        <v>31935.48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IFERROR(__xludf.DUMMYFUNCTION("IMPORTRANGE(""https://docs.google.com/spreadsheets/d/11923uPwbBZFjjGgGUA6NLw09EwE0CqkOc4q9oUmW1yo/edit?usp=sharing"",""สุโขทัย!M467"")"),21300)</f>
        <v>21300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IFERROR(__xludf.DUMMYFUNCTION("IMPORTRANGE(""https://docs.google.com/spreadsheets/d/11923uPwbBZFjjGgGUA6NLw09EwE0CqkOc4q9oUmW1yo/edit?usp=sharing"",""สุโขทัย!J468"")"),3501)</f>
        <v>3501</v>
      </c>
      <c r="K573" s="201">
        <f ca="1">IF(I573&gt;0,J573*100/I573,0)</f>
        <v>166.71428571428572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IFERROR(__xludf.DUMMYFUNCTION("IMPORTRANGE(""https://docs.google.com/spreadsheets/d/11923uPwbBZFjjGgGUA6NLw09EwE0CqkOc4q9oUmW1yo/edit?usp=sharing"",""สุโขทัย!J471"")"),174)</f>
        <v>174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IFERROR(__xludf.DUMMYFUNCTION("IMPORTRANGE(""https://docs.google.com/spreadsheets/d/11923uPwbBZFjjGgGUA6NLw09EwE0CqkOc4q9oUmW1yo/edit?usp=sharing"",""สุโขทัย!J472"")"),3327)</f>
        <v>3327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IFERROR(__xludf.DUMMYFUNCTION("IMPORTRANGE(""https://docs.google.com/spreadsheets/d/11923uPwbBZFjjGgGUA6NLw09EwE0CqkOc4q9oUmW1yo/edit?usp=sharing"",""สุโขทัย!J484"")"),47)</f>
        <v>47</v>
      </c>
      <c r="K589" s="163">
        <f t="shared" ref="K589:K596" ca="1" si="125">IF(I589&gt;0,J589*100/I589,0)</f>
        <v>52.222222222222221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IFERROR(__xludf.DUMMYFUNCTION("IMPORTRANGE(""https://docs.google.com/spreadsheets/d/11923uPwbBZFjjGgGUA6NLw09EwE0CqkOc4q9oUmW1yo/edit?usp=sharing"",""สุโขทัย!J485"")"),38.77)</f>
        <v>38.770000000000003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IFERROR(__xludf.DUMMYFUNCTION("IMPORTRANGE(""https://docs.google.com/spreadsheets/d/11923uPwbBZFjjGgGUA6NLw09EwE0CqkOc4q9oUmW1yo/edit?usp=sharing"",""สุโขทัย!J486"")"),46)</f>
        <v>46</v>
      </c>
      <c r="K591" s="163">
        <f t="shared" ca="1" si="125"/>
        <v>51.111111111111114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IFERROR(__xludf.DUMMYFUNCTION("IMPORTRANGE(""https://docs.google.com/spreadsheets/d/11923uPwbBZFjjGgGUA6NLw09EwE0CqkOc4q9oUmW1yo/edit?usp=sharing"",""สุโขทัย!J487"")"),48.06)</f>
        <v>48.06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IFERROR(__xludf.DUMMYFUNCTION("IMPORTRANGE(""https://docs.google.com/spreadsheets/d/11923uPwbBZFjjGgGUA6NLw09EwE0CqkOc4q9oUmW1yo/edit?usp=sharing"",""สุโขทัย!I491"")"),0)</f>
        <v>0</v>
      </c>
      <c r="J596" s="240">
        <f ca="1">IFERROR(__xludf.DUMMYFUNCTION("IMPORTRANGE(""https://docs.google.com/spreadsheets/d/11923uPwbBZFjjGgGUA6NLw09EwE0CqkOc4q9oUmW1yo/edit?usp=sharing"",""สุโขทัย!J491"")"),0)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7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IFERROR(__xludf.DUMMYFUNCTION("IMPORTRANGE(""https://docs.google.com/spreadsheets/d/11923uPwbBZFjjGgGUA6NLw09EwE0CqkOc4q9oUmW1yo/edit?usp=sharing"",""สุโขทัย!L492"")"),7300)</f>
        <v>7300</v>
      </c>
      <c r="M597" s="411"/>
      <c r="N597" s="411">
        <f ca="1">IFERROR(__xludf.DUMMYFUNCTION("IMPORTRANGE(""https://docs.google.com/spreadsheets/d/11923uPwbBZFjjGgGUA6NLw09EwE0CqkOc4q9oUmW1yo/edit?usp=sharing"",""สุโขทัย!M492"")"),0)</f>
        <v>0</v>
      </c>
      <c r="O597" s="411">
        <f t="shared" ref="O597:O601" ca="1" si="126">+IF(L597&gt;0,N597*100/L597,0)</f>
        <v>0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IFERROR(__xludf.DUMMYFUNCTION("IMPORTRANGE(""https://docs.google.com/spreadsheets/d/11923uPwbBZFjjGgGUA6NLw09EwE0CqkOc4q9oUmW1yo/edit?usp=sharing"",""สุโขทัย!M494"")"),0)</f>
        <v>0</v>
      </c>
      <c r="O599" s="168">
        <f t="shared" ca="1" si="126"/>
        <v>0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IFERROR(__xludf.DUMMYFUNCTION("IMPORTRANGE(""https://docs.google.com/spreadsheets/d/11923uPwbBZFjjGgGUA6NLw09EwE0CqkOc4q9oUmW1yo/edit?usp=sharing"",""สุโขทัย!M496"")"),0)</f>
        <v>0</v>
      </c>
      <c r="O601" s="168">
        <f t="shared" ca="1" si="126"/>
        <v>0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IFERROR(__xludf.DUMMYFUNCTION("IMPORTRANGE(""https://docs.google.com/spreadsheets/d/11923uPwbBZFjjGgGUA6NLw09EwE0CqkOc4q9oUmW1yo/edit?usp=sharing"",""สุโขทัย!M500"")"),0)</f>
        <v>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IFERROR(__xludf.DUMMYFUNCTION("IMPORTRANGE(""https://docs.google.com/spreadsheets/d/11923uPwbBZFjjGgGUA6NLw09EwE0CqkOc4q9oUmW1yo/edit?usp=sharing"",""สุโขทัย!J507"")"),158)</f>
        <v>158</v>
      </c>
      <c r="K612" s="163">
        <f t="shared" ca="1" si="127"/>
        <v>158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0">
        <f ca="1">IFERROR(__xludf.DUMMYFUNCTION("IMPORTRANGE(""https://docs.google.com/spreadsheets/d/11923uPwbBZFjjGgGUA6NLw09EwE0CqkOc4q9oUmW1yo/edit?usp=sharing"",""สุโขทัย!J523"")"),3535346.72)</f>
        <v>3535346.72</v>
      </c>
      <c r="K628" s="341">
        <f t="shared" ref="K628:K635" ca="1" si="129">IF(I628&gt;0,J628*100/I628,0)</f>
        <v>57.698928778126458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IFERROR(__xludf.DUMMYFUNCTION("IMPORTRANGE(""https://docs.google.com/spreadsheets/d/11923uPwbBZFjjGgGUA6NLw09EwE0CqkOc4q9oUmW1yo/edit?usp=sharing"",""สุโขทัย!I524"")"),426)</f>
        <v>426</v>
      </c>
      <c r="J629" s="340">
        <f ca="1">IFERROR(__xludf.DUMMYFUNCTION("IMPORTRANGE(""https://docs.google.com/spreadsheets/d/11923uPwbBZFjjGgGUA6NLw09EwE0CqkOc4q9oUmW1yo/edit?usp=sharing"",""สุโขทัย!J524"")"),262)</f>
        <v>262</v>
      </c>
      <c r="K629" s="341">
        <f t="shared" ca="1" si="129"/>
        <v>61.502347417840376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0">
        <f ca="1">IFERROR(__xludf.DUMMYFUNCTION("IMPORTRANGE(""https://docs.google.com/spreadsheets/d/11923uPwbBZFjjGgGUA6NLw09EwE0CqkOc4q9oUmW1yo/edit?usp=sharing"",""สุโขทัย!J525"")"),1278948.89)</f>
        <v>1278948.8899999999</v>
      </c>
      <c r="K630" s="341">
        <f t="shared" ca="1" si="129"/>
        <v>18.249602878336795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IFERROR(__xludf.DUMMYFUNCTION("IMPORTRANGE(""https://docs.google.com/spreadsheets/d/11923uPwbBZFjjGgGUA6NLw09EwE0CqkOc4q9oUmW1yo/edit?usp=sharing"",""สุโขทัย!I526"")"),256)</f>
        <v>256</v>
      </c>
      <c r="J631" s="340">
        <f ca="1">IFERROR(__xludf.DUMMYFUNCTION("IMPORTRANGE(""https://docs.google.com/spreadsheets/d/11923uPwbBZFjjGgGUA6NLw09EwE0CqkOc4q9oUmW1yo/edit?usp=sharing"",""สุโขทัย!J526"")"),199)</f>
        <v>199</v>
      </c>
      <c r="K631" s="341">
        <f t="shared" ca="1" si="129"/>
        <v>77.734375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IFERROR(__xludf.DUMMYFUNCTION("IMPORTRANGE(""https://docs.google.com/spreadsheets/d/11923uPwbBZFjjGgGUA6NLw09EwE0CqkOc4q9oUmW1yo/edit?usp=sharing"",""สุโขทัย!I527"")"),2664010.23)</f>
        <v>2664010.23</v>
      </c>
      <c r="J632" s="340">
        <f ca="1">IFERROR(__xludf.DUMMYFUNCTION("IMPORTRANGE(""https://docs.google.com/spreadsheets/d/11923uPwbBZFjjGgGUA6NLw09EwE0CqkOc4q9oUmW1yo/edit?usp=sharing"",""สุโขทัย!J527"")"),417102.24)</f>
        <v>417102.24</v>
      </c>
      <c r="K632" s="341">
        <f t="shared" ca="1" si="129"/>
        <v>15.656930866965928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IFERROR(__xludf.DUMMYFUNCTION("IMPORTRANGE(""https://docs.google.com/spreadsheets/d/11923uPwbBZFjjGgGUA6NLw09EwE0CqkOc4q9oUmW1yo/edit?usp=sharing"",""สุโขทัย!I528"")"),180)</f>
        <v>180</v>
      </c>
      <c r="J633" s="340">
        <f ca="1">IFERROR(__xludf.DUMMYFUNCTION("IMPORTRANGE(""https://docs.google.com/spreadsheets/d/11923uPwbBZFjjGgGUA6NLw09EwE0CqkOc4q9oUmW1yo/edit?usp=sharing"",""สุโขทัย!J528"")"),46)</f>
        <v>46</v>
      </c>
      <c r="K633" s="341">
        <f t="shared" ca="1" si="129"/>
        <v>25.555555555555557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IFERROR(__xludf.DUMMYFUNCTION("IMPORTRANGE(""https://docs.google.com/spreadsheets/d/11923uPwbBZFjjGgGUA6NLw09EwE0CqkOc4q9oUmW1yo/edit?usp=sharing"",""สุโขทัย!I529"")"),5000000)</f>
        <v>5000000</v>
      </c>
      <c r="J634" s="340">
        <f ca="1">IFERROR(__xludf.DUMMYFUNCTION("IMPORTRANGE(""https://docs.google.com/spreadsheets/d/11923uPwbBZFjjGgGUA6NLw09EwE0CqkOc4q9oUmW1yo/edit?usp=sharing"",""สุโขทัย!J529"")"),2140000)</f>
        <v>2140000</v>
      </c>
      <c r="K634" s="341">
        <f t="shared" ca="1" si="129"/>
        <v>42.8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IFERROR(__xludf.DUMMYFUNCTION("IMPORTRANGE(""https://docs.google.com/spreadsheets/d/11923uPwbBZFjjGgGUA6NLw09EwE0CqkOc4q9oUmW1yo/edit?usp=sharing"",""สุโขทัย!I530"")"),114)</f>
        <v>114</v>
      </c>
      <c r="J635" s="504">
        <f ca="1">IFERROR(__xludf.DUMMYFUNCTION("IMPORTRANGE(""https://docs.google.com/spreadsheets/d/11923uPwbBZFjjGgGUA6NLw09EwE0CqkOc4q9oUmW1yo/edit?usp=sharing"",""สุโขทัย!J530"")"),44)</f>
        <v>44</v>
      </c>
      <c r="K635" s="486">
        <f t="shared" ca="1" si="129"/>
        <v>38.596491228070178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268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5598622.0499999998</v>
      </c>
      <c r="M8" s="23">
        <f t="shared" ca="1" si="0"/>
        <v>2830163.7</v>
      </c>
      <c r="N8" s="23">
        <f t="shared" ca="1" si="0"/>
        <v>3222447.3100000005</v>
      </c>
      <c r="O8" s="22">
        <f t="shared" ref="O8:O16" ca="1" si="1">IF(L8&gt;0,N8*100/L8,0)</f>
        <v>57.557864796392188</v>
      </c>
      <c r="P8" s="22">
        <f t="shared" ref="P8:P16" ca="1" si="2">IF(M8&gt;0,N8*100/M8,0)</f>
        <v>113.86080988884143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5598622.0499999998</v>
      </c>
      <c r="M10" s="30">
        <f t="shared" ca="1" si="4"/>
        <v>2830163.7</v>
      </c>
      <c r="N10" s="30">
        <f t="shared" ca="1" si="4"/>
        <v>3222447.3100000005</v>
      </c>
      <c r="O10" s="29">
        <f t="shared" ca="1" si="1"/>
        <v>57.557864796392188</v>
      </c>
      <c r="P10" s="29">
        <f t="shared" ca="1" si="2"/>
        <v>113.86080988884143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4753192.3499999996</v>
      </c>
      <c r="M12" s="39">
        <f t="shared" ca="1" si="6"/>
        <v>1984734</v>
      </c>
      <c r="N12" s="39">
        <f t="shared" ca="1" si="6"/>
        <v>2377017.6100000003</v>
      </c>
      <c r="O12" s="39">
        <f t="shared" ca="1" si="1"/>
        <v>50.00886635694431</v>
      </c>
      <c r="P12" s="39">
        <f t="shared" ca="1" si="2"/>
        <v>119.76504710454904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1880100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2873092.35</v>
      </c>
      <c r="M14" s="39">
        <f t="shared" si="8"/>
        <v>0</v>
      </c>
      <c r="N14" s="39">
        <f t="shared" ca="1" si="8"/>
        <v>892228.60000000009</v>
      </c>
      <c r="O14" s="39">
        <f t="shared" ca="1" si="1"/>
        <v>31.054643962279879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845429.7</v>
      </c>
      <c r="M16" s="39">
        <f t="shared" ca="1" si="10"/>
        <v>845429.7</v>
      </c>
      <c r="N16" s="39">
        <f t="shared" ca="1" si="10"/>
        <v>845429.7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3393894.7</v>
      </c>
      <c r="M18" s="23">
        <f t="shared" ca="1" si="11"/>
        <v>2830163.7</v>
      </c>
      <c r="N18" s="23">
        <f t="shared" ca="1" si="11"/>
        <v>2330218.71</v>
      </c>
      <c r="O18" s="22">
        <f t="shared" ref="O18:O20" ca="1" si="12">IF(L18&gt;0,N18*100/L18,0)</f>
        <v>68.659134003185187</v>
      </c>
      <c r="P18" s="22">
        <f t="shared" ref="P18:P26" ca="1" si="13">IF(M18&gt;0,N18*100/M18,0)</f>
        <v>82.33512110977891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3393894.7</v>
      </c>
      <c r="M20" s="30">
        <f t="shared" ca="1" si="15"/>
        <v>2830163.7</v>
      </c>
      <c r="N20" s="30">
        <f t="shared" ca="1" si="15"/>
        <v>2330218.71</v>
      </c>
      <c r="O20" s="29">
        <f t="shared" ca="1" si="12"/>
        <v>68.659134003185187</v>
      </c>
      <c r="P20" s="29">
        <f t="shared" ca="1" si="13"/>
        <v>82.33512110977891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2548465</v>
      </c>
      <c r="M22" s="42">
        <f t="shared" ca="1" si="18"/>
        <v>1984734</v>
      </c>
      <c r="N22" s="39">
        <f t="shared" ca="1" si="18"/>
        <v>1484789.01</v>
      </c>
      <c r="O22" s="39">
        <f t="shared" ca="1" si="17"/>
        <v>58.26209149429166</v>
      </c>
      <c r="P22" s="39">
        <f t="shared" ca="1" si="13"/>
        <v>74.810478885331733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1880100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668365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845429.7</v>
      </c>
      <c r="M26" s="50">
        <f t="shared" ca="1" si="22"/>
        <v>845429.7</v>
      </c>
      <c r="N26" s="50">
        <f t="shared" ca="1" si="22"/>
        <v>845429.7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2204727.35</v>
      </c>
      <c r="M28" s="23">
        <f t="shared" si="23"/>
        <v>0</v>
      </c>
      <c r="N28" s="23">
        <f t="shared" ca="1" si="23"/>
        <v>892228.60000000009</v>
      </c>
      <c r="O28" s="22">
        <f t="shared" ref="O28:O30" ca="1" si="24">IF(L28&gt;0,N28*100/L28,0)</f>
        <v>40.468886096051747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2204727.35</v>
      </c>
      <c r="M30" s="30">
        <f t="shared" si="27"/>
        <v>0</v>
      </c>
      <c r="N30" s="30">
        <f t="shared" ca="1" si="27"/>
        <v>892228.60000000009</v>
      </c>
      <c r="O30" s="29">
        <f t="shared" ca="1" si="24"/>
        <v>40.468886096051747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2204727.35</v>
      </c>
      <c r="M32" s="39">
        <f t="shared" si="30"/>
        <v>0</v>
      </c>
      <c r="N32" s="39">
        <f t="shared" ca="1" si="30"/>
        <v>892228.60000000009</v>
      </c>
      <c r="O32" s="39">
        <f t="shared" ca="1" si="29"/>
        <v>40.468886096051747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2204727.35</v>
      </c>
      <c r="M34" s="39">
        <f t="shared" si="32"/>
        <v>0</v>
      </c>
      <c r="N34" s="39">
        <f t="shared" ca="1" si="32"/>
        <v>892228.60000000009</v>
      </c>
      <c r="O34" s="39">
        <f t="shared" ca="1" si="29"/>
        <v>40.468886096051747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3393894.7</v>
      </c>
      <c r="M37" s="55">
        <f t="shared" ca="1" si="33"/>
        <v>2830163.7</v>
      </c>
      <c r="N37" s="55">
        <f t="shared" ca="1" si="33"/>
        <v>2330218.71</v>
      </c>
      <c r="O37" s="56">
        <f t="shared" ca="1" si="29"/>
        <v>68.659134003185187</v>
      </c>
      <c r="P37" s="56">
        <f t="shared" ca="1" si="25"/>
        <v>82.33512110977891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1487129.7</v>
      </c>
      <c r="M41" s="79">
        <f t="shared" ca="1" si="34"/>
        <v>1305483.7</v>
      </c>
      <c r="N41" s="79">
        <f t="shared" ca="1" si="34"/>
        <v>1130358.75</v>
      </c>
      <c r="O41" s="78">
        <f t="shared" ref="O41:O43" ca="1" si="35">IF(L41&gt;0,N41*100/L41,0)</f>
        <v>76.009426077631289</v>
      </c>
      <c r="P41" s="78">
        <f t="shared" ref="P41:P43" ca="1" si="36">IF(M41&gt;0,N41*100/M41,0)</f>
        <v>86.585435727768953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1487129.7</v>
      </c>
      <c r="M43" s="79">
        <f t="shared" ca="1" si="38"/>
        <v>1305483.7</v>
      </c>
      <c r="N43" s="79">
        <f t="shared" ca="1" si="38"/>
        <v>1130358.75</v>
      </c>
      <c r="O43" s="78">
        <f t="shared" ca="1" si="35"/>
        <v>76.009426077631289</v>
      </c>
      <c r="P43" s="78">
        <f t="shared" ca="1" si="36"/>
        <v>86.585435727768953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734100</v>
      </c>
      <c r="M45" s="50">
        <f ca="1">IFERROR(__xludf.DUMMYFUNCTION("IMPORTRANGE(""https://docs.google.com/spreadsheets/d/1Yj_ptqi66GCucihVvJfMjLAmec39IyEx_6qawtMGysU/edit?usp=sharing"",""สบก!Q35"")"),552454)</f>
        <v>552454</v>
      </c>
      <c r="N45" s="50">
        <f ca="1">IFERROR(__xludf.DUMMYFUNCTION("IMPORTRANGE(""https://docs.google.com/spreadsheets/d/1Yj_ptqi66GCucihVvJfMjLAmec39IyEx_6qawtMGysU/edit?usp=sharing"",""สบก!R35"")"),377329.05)</f>
        <v>377329.05</v>
      </c>
      <c r="O45" s="39">
        <f ca="1">IF(L45&gt;0,N45*100/L45,0)</f>
        <v>51.400224765018393</v>
      </c>
      <c r="P45" s="39">
        <f ca="1">IF(M45&gt;0,N45*100/M45,0)</f>
        <v>68.300537239299558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IFERROR(__xludf.DUMMYFUNCTION("IMPORTRANGE(""https://docs.google.com/spreadsheets/d/1Yj_ptqi66GCucihVvJfMjLAmec39IyEx_6qawtMGysU/edit?usp=sharing"",""สบก!M35"")"),734100)</f>
        <v>734100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IFERROR(__xludf.DUMMYFUNCTION("IMPORTRANGE(""https://docs.google.com/spreadsheets/d/1Yj_ptqi66GCucihVvJfMjLAmec39IyEx_6qawtMGysU/edit?usp=sharing"",""สบก!O35"")"),753029.7)</f>
        <v>753029.7</v>
      </c>
      <c r="M49" s="50">
        <f ca="1">L49</f>
        <v>753029.7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321590</v>
      </c>
      <c r="N53" s="121">
        <f t="shared" ca="1" si="39"/>
        <v>313451</v>
      </c>
      <c r="O53" s="120">
        <f t="shared" ref="O53:O55" ca="1" si="40">IF(L53&gt;0,N53*100/L53,0)</f>
        <v>78.362750000000005</v>
      </c>
      <c r="P53" s="120">
        <f t="shared" ref="P53:P55" ca="1" si="41">IF(M53&gt;0,N53*100/M53,0)</f>
        <v>97.469137721944094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321590</v>
      </c>
      <c r="N55" s="121">
        <f t="shared" ca="1" si="43"/>
        <v>313451</v>
      </c>
      <c r="O55" s="120">
        <f t="shared" ca="1" si="40"/>
        <v>78.362750000000005</v>
      </c>
      <c r="P55" s="120">
        <f t="shared" ca="1" si="41"/>
        <v>97.469137721944094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IFERROR(__xludf.DUMMYFUNCTION("IMPORTRANGE(""https://docs.google.com/spreadsheets/d/1Yj_ptqi66GCucihVvJfMjLAmec39IyEx_6qawtMGysU/edit?usp=sharing"",""สบก!Z35"")"),321590)</f>
        <v>321590</v>
      </c>
      <c r="N57" s="50">
        <f ca="1">IFERROR(__xludf.DUMMYFUNCTION("IMPORTRANGE(""https://docs.google.com/spreadsheets/d/1Yj_ptqi66GCucihVvJfMjLAmec39IyEx_6qawtMGysU/edit?usp=sharing"",""สบก!AA35"")"),313451)</f>
        <v>313451</v>
      </c>
      <c r="O57" s="39">
        <f ca="1">IF(L57&gt;0,N57*100/L57,0)</f>
        <v>78.362750000000005</v>
      </c>
      <c r="P57" s="39">
        <f ca="1">IF(M57&gt;0,N57*100/M57,0)</f>
        <v>97.469137721944094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168232.5</v>
      </c>
      <c r="O94" s="151">
        <f t="shared" ref="O94:O96" ca="1" si="53">IF(L94&gt;0,N94*100/L94,0)</f>
        <v>78.430069930069934</v>
      </c>
      <c r="P94" s="151">
        <f t="shared" ref="P94:P96" ca="1" si="54">IF(M94&gt;0,N94*100/M94,0)</f>
        <v>78.430069930069934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168232.5</v>
      </c>
      <c r="O96" s="156">
        <f t="shared" ca="1" si="53"/>
        <v>78.430069930069934</v>
      </c>
      <c r="P96" s="156">
        <f t="shared" ca="1" si="54"/>
        <v>78.430069930069934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IFERROR(__xludf.DUMMYFUNCTION("IMPORTRANGE(""https://docs.google.com/spreadsheets/d/1Yj_ptqi66GCucihVvJfMjLAmec39IyEx_6qawtMGysU/edit?usp=sharing"",""สบก!AR35"")"),122100)</f>
        <v>122100</v>
      </c>
      <c r="N98" s="168">
        <f ca="1">IFERROR(__xludf.DUMMYFUNCTION("IMPORTRANGE(""https://docs.google.com/spreadsheets/d/1Yj_ptqi66GCucihVvJfMjLAmec39IyEx_6qawtMGysU/edit?usp=sharing"",""สบก!AS35"")"),75832.5)</f>
        <v>75832.5</v>
      </c>
      <c r="O98" s="168">
        <f ca="1">IF(L98&gt;0,N98*100/L98,0)</f>
        <v>62.106879606879609</v>
      </c>
      <c r="P98" s="168">
        <f ca="1">IF(M98&gt;0,N98*100/M98,0)</f>
        <v>62.106879606879609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IFERROR(__xludf.DUMMYFUNCTION("IMPORTRANGE(""https://docs.google.com/spreadsheets/d/11923uPwbBZFjjGgGUA6NLw09EwE0CqkOc4q9oUmW1yo/edit?usp=sharing"",""อุตรดิตถ์!J50"")"),0)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56712.6</v>
      </c>
      <c r="O118" s="151">
        <f t="shared" ref="O118:O120" ca="1" si="59">IF(L118&gt;0,N118*100/L118,0)</f>
        <v>68.792576419213972</v>
      </c>
      <c r="P118" s="151">
        <f t="shared" ref="P118:P120" ca="1" si="60">IF(M118&gt;0,N118*100/M118,0)</f>
        <v>68.792576419213972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56712.6</v>
      </c>
      <c r="O120" s="156">
        <f t="shared" ca="1" si="59"/>
        <v>68.792576419213972</v>
      </c>
      <c r="P120" s="156">
        <f t="shared" ca="1" si="60"/>
        <v>68.792576419213972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IFERROR(__xludf.DUMMYFUNCTION("IMPORTRANGE(""https://docs.google.com/spreadsheets/d/1Yj_ptqi66GCucihVvJfMjLAmec39IyEx_6qawtMGysU/edit?usp=sharing"",""สบก!BB35"")"),56712.6)</f>
        <v>56712.6</v>
      </c>
      <c r="O122" s="168">
        <f ca="1">IF(L122&gt;0,N122*100/L122,0)</f>
        <v>68.792576419213972</v>
      </c>
      <c r="P122" s="168">
        <f ca="1">IF(M122&gt;0,N122*100/M122,0)</f>
        <v>68.792576419213972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269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IFERROR(__xludf.DUMMYFUNCTION("IMPORTRANGE(""https://docs.google.com/spreadsheets/d/11923uPwbBZFjjGgGUA6NLw09EwE0CqkOc4q9oUmW1yo/edit?usp=sharing"",""อุตรดิตถ์!J65"")"),0)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IFERROR(__xludf.DUMMYFUNCTION("IMPORTRANGE(""https://docs.google.com/spreadsheets/d/11923uPwbBZFjjGgGUA6NLw09EwE0CqkOc4q9oUmW1yo/edit?usp=sharing"",""อุตรดิตถ์!I68"")"),0)</f>
        <v>0</v>
      </c>
      <c r="J138" s="266">
        <f ca="1">IFERROR(__xludf.DUMMYFUNCTION("IMPORTRANGE(""https://docs.google.com/spreadsheets/d/11923uPwbBZFjjGgGUA6NLw09EwE0CqkOc4q9oUmW1yo/edit?usp=sharing"",""อุตรดิตถ์!J68"")"),0)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70625</v>
      </c>
      <c r="N140" s="152">
        <f t="shared" ca="1" si="64"/>
        <v>62170.1</v>
      </c>
      <c r="O140" s="151">
        <f t="shared" ref="O140:O142" ca="1" si="65">IF(L140&gt;0,N140*100/L140,0)</f>
        <v>78.696329113924051</v>
      </c>
      <c r="P140" s="151">
        <f t="shared" ref="P140:P142" ca="1" si="66">IF(M140&gt;0,N140*100/M140,0)</f>
        <v>88.028460176991146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79000</v>
      </c>
      <c r="M142" s="88">
        <f t="shared" ca="1" si="68"/>
        <v>70625</v>
      </c>
      <c r="N142" s="88">
        <f t="shared" ca="1" si="68"/>
        <v>62170.1</v>
      </c>
      <c r="O142" s="156">
        <f t="shared" ca="1" si="65"/>
        <v>78.696329113924051</v>
      </c>
      <c r="P142" s="156">
        <f t="shared" ca="1" si="66"/>
        <v>88.028460176991146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79000</v>
      </c>
      <c r="M144" s="167">
        <f ca="1">IFERROR(__xludf.DUMMYFUNCTION("IMPORTRANGE(""https://docs.google.com/spreadsheets/d/1Yj_ptqi66GCucihVvJfMjLAmec39IyEx_6qawtMGysU/edit?usp=sharing"",""สบก!BJ35"")"),70625)</f>
        <v>70625</v>
      </c>
      <c r="N144" s="168">
        <f ca="1">IFERROR(__xludf.DUMMYFUNCTION("IMPORTRANGE(""https://docs.google.com/spreadsheets/d/1Yj_ptqi66GCucihVvJfMjLAmec39IyEx_6qawtMGysU/edit?usp=sharing"",""สบก!BK35"")"),62170.1)</f>
        <v>62170.1</v>
      </c>
      <c r="O144" s="168">
        <f ca="1">IF(L144&gt;0,N144*100/L144,0)</f>
        <v>78.696329113924051</v>
      </c>
      <c r="P144" s="168">
        <f ca="1">IF(M144&gt;0,N144*100/M144,0)</f>
        <v>88.028460176991146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IFERROR(__xludf.DUMMYFUNCTION("IMPORTRANGE(""https://docs.google.com/spreadsheets/d/1Yj_ptqi66GCucihVvJfMjLAmec39IyEx_6qawtMGysU/edit?usp=sharing"",""สบก!BG35"")"),79000)</f>
        <v>79000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IFERROR(__xludf.DUMMYFUNCTION("IMPORTRANGE(""https://docs.google.com/spreadsheets/d/11923uPwbBZFjjGgGUA6NLw09EwE0CqkOc4q9oUmW1yo/edit?usp=sharing"",""อุตรดิตถ์!I74"")"),4)</f>
        <v>4</v>
      </c>
      <c r="J149" s="274">
        <f ca="1">IFERROR(__xludf.DUMMYFUNCTION("IMPORTRANGE(""https://docs.google.com/spreadsheets/d/11923uPwbBZFjjGgGUA6NLw09EwE0CqkOc4q9oUmW1yo/edit?usp=sharing"",""อุตรดิตถ์!J74"")"),2)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IFERROR(__xludf.DUMMYFUNCTION("IMPORTRANGE(""https://docs.google.com/spreadsheets/d/11923uPwbBZFjjGgGUA6NLw09EwE0CqkOc4q9oUmW1yo/edit?usp=sharing"",""อุตรดิตถ์!J85"")"),102)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IFERROR(__xludf.DUMMYFUNCTION("IMPORTRANGE(""https://docs.google.com/spreadsheets/d/11923uPwbBZFjjGgGUA6NLw09EwE0CqkOc4q9oUmW1yo/edit?usp=sharing"",""อุตรดิตถ์!I89"")"),3)</f>
        <v>3</v>
      </c>
      <c r="J164" s="283">
        <f ca="1">IFERROR(__xludf.DUMMYFUNCTION("IMPORTRANGE(""https://docs.google.com/spreadsheets/d/11923uPwbBZFjjGgGUA6NLw09EwE0CqkOc4q9oUmW1yo/edit?usp=sharing"",""อุตรดิตถ์!J89"")"),3)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IFERROR(__xludf.DUMMYFUNCTION("IMPORTRANGE(""https://docs.google.com/spreadsheets/d/11923uPwbBZFjjGgGUA6NLw09EwE0CqkOc4q9oUmW1yo/edit?usp=sharing"",""อุตรดิตถ์!I101"")"),1)</f>
        <v>1</v>
      </c>
      <c r="J176" s="283">
        <f ca="1">IFERROR(__xludf.DUMMYFUNCTION("IMPORTRANGE(""https://docs.google.com/spreadsheets/d/11923uPwbBZFjjGgGUA6NLw09EwE0CqkOc4q9oUmW1yo/edit?usp=sharing"",""อุตรดิตถ์!J101"")"),1)</f>
        <v>1</v>
      </c>
      <c r="K176" s="284">
        <f ca="1">IF(I176&gt;0,J176*100/I176,0)</f>
        <v>100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IFERROR(__xludf.DUMMYFUNCTION("IMPORTRANGE(""https://docs.google.com/spreadsheets/d/11923uPwbBZFjjGgGUA6NLw09EwE0CqkOc4q9oUmW1yo/edit?usp=sharing"",""อุตรดิตถ์!J108"")"),1)</f>
        <v>1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IFERROR(__xludf.DUMMYFUNCTION("IMPORTRANGE(""https://docs.google.com/spreadsheets/d/11923uPwbBZFjjGgGUA6NLw09EwE0CqkOc4q9oUmW1yo/edit?usp=sharing"",""อุตรดิตถ์!J109"")"),1)</f>
        <v>1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3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3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IFERROR(__xludf.DUMMYFUNCTION("IMPORTRANGE(""https://docs.google.com/spreadsheets/d/11923uPwbBZFjjGgGUA6NLw09EwE0CqkOc4q9oUmW1yo/edit?usp=sharing"",""อุตรดิตถ์!J113"")"),0)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IFERROR(__xludf.DUMMYFUNCTION("IMPORTRANGE(""https://docs.google.com/spreadsheets/d/11923uPwbBZFjjGgGUA6NLw09EwE0CqkOc4q9oUmW1yo/edit?usp=sharing"",""อุตรดิตถ์!I114"")"),30000)</f>
        <v>30000</v>
      </c>
      <c r="J189" s="283">
        <f ca="1">IFERROR(__xludf.DUMMYFUNCTION("IMPORTRANGE(""https://docs.google.com/spreadsheets/d/11923uPwbBZFjjGgGUA6NLw09EwE0CqkOc4q9oUmW1yo/edit?usp=sharing"",""อุตรดิตถ์!J114"")"),0)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IFERROR(__xludf.DUMMYFUNCTION("IMPORTRANGE(""https://docs.google.com/spreadsheets/d/11923uPwbBZFjjGgGUA6NLw09EwE0CqkOc4q9oUmW1yo/edit?usp=sharing"",""อุตรดิตถ์!J128"")"),0)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IFERROR(__xludf.DUMMYFUNCTION("IMPORTRANGE(""https://docs.google.com/spreadsheets/d/11923uPwbBZFjjGgGUA6NLw09EwE0CqkOc4q9oUmW1yo/edit?usp=sharing"",""อุตรดิตถ์!I129"")"),0)</f>
        <v>0</v>
      </c>
      <c r="J204" s="283">
        <f ca="1">IFERROR(__xludf.DUMMYFUNCTION("IMPORTRANGE(""https://docs.google.com/spreadsheets/d/11923uPwbBZFjjGgGUA6NLw09EwE0CqkOc4q9oUmW1yo/edit?usp=sharing"",""อุตรดิตถ์!J129"")"),0)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IFERROR(__xludf.DUMMYFUNCTION("IMPORTRANGE(""https://docs.google.com/spreadsheets/d/11923uPwbBZFjjGgGUA6NLw09EwE0CqkOc4q9oUmW1yo/edit?usp=sharing"",""อุตรดิตถ์!J143"")"),0)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IFERROR(__xludf.DUMMYFUNCTION("IMPORTRANGE(""https://docs.google.com/spreadsheets/d/11923uPwbBZFjjGgGUA6NLw09EwE0CqkOc4q9oUmW1yo/edit?usp=sharing"",""อุตรดิตถ์!I144"")"),15)</f>
        <v>15</v>
      </c>
      <c r="J219" s="266">
        <f ca="1">IFERROR(__xludf.DUMMYFUNCTION("IMPORTRANGE(""https://docs.google.com/spreadsheets/d/11923uPwbBZFjjGgGUA6NLw09EwE0CqkOc4q9oUmW1yo/edit?usp=sharing"",""อุตรดิตถ์!J144"")"),15)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IFERROR(__xludf.DUMMYFUNCTION("IMPORTRANGE(""https://docs.google.com/spreadsheets/d/11923uPwbBZFjjGgGUA6NLw09EwE0CqkOc4q9oUmW1yo/edit?usp=sharing"",""อุตรดิตถ์!I149"")"),15)</f>
        <v>15</v>
      </c>
      <c r="J229" s="266">
        <f ca="1">IFERROR(__xludf.DUMMYFUNCTION("IMPORTRANGE(""https://docs.google.com/spreadsheets/d/11923uPwbBZFjjGgGUA6NLw09EwE0CqkOc4q9oUmW1yo/edit?usp=sharing"",""อุตรดิตถ์!J149"")"),15)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IFERROR(__xludf.DUMMYFUNCTION("IMPORTRANGE(""https://docs.google.com/spreadsheets/d/11923uPwbBZFjjGgGUA6NLw09EwE0CqkOc4q9oUmW1yo/edit?usp=sharing"",""อุตรดิตถ์!I158"")"),0)</f>
        <v>0</v>
      </c>
      <c r="J238" s="266">
        <f ca="1">IFERROR(__xludf.DUMMYFUNCTION("IMPORTRANGE(""https://docs.google.com/spreadsheets/d/11923uPwbBZFjjGgGUA6NLw09EwE0CqkOc4q9oUmW1yo/edit?usp=sharing"",""อุตรดิตถ์!J158"")"),0)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IFERROR(__xludf.DUMMYFUNCTION("IMPORTRANGE(""https://docs.google.com/spreadsheets/d/11923uPwbBZFjjGgGUA6NLw09EwE0CqkOc4q9oUmW1yo/edit?usp=sharing"",""อุตรดิตถ์!J166"")"),0)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IFERROR(__xludf.DUMMYFUNCTION("IMPORTRANGE(""https://docs.google.com/spreadsheets/d/11923uPwbBZFjjGgGUA6NLw09EwE0CqkOc4q9oUmW1yo/edit?usp=sharing"",""อุตรดิตถ์!I169"")"),20)</f>
        <v>20</v>
      </c>
      <c r="J249" s="315">
        <f ca="1">IFERROR(__xludf.DUMMYFUNCTION("IMPORTRANGE(""https://docs.google.com/spreadsheets/d/11923uPwbBZFjjGgGUA6NLw09EwE0CqkOc4q9oUmW1yo/edit?usp=sharing"",""อุตรดิตถ์!J169"")"),20)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124407.76</v>
      </c>
      <c r="O250" s="151">
        <f t="shared" ref="O250:O252" ca="1" si="78">IF(L250&gt;0,N250*100/L250,0)</f>
        <v>61.164090462143562</v>
      </c>
      <c r="P250" s="151">
        <f t="shared" ref="P250:P252" ca="1" si="79">IF(M250&gt;0,N250*100/M250,0)</f>
        <v>88.232453900709217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124407.76</v>
      </c>
      <c r="O252" s="156">
        <f t="shared" ca="1" si="78"/>
        <v>61.164090462143562</v>
      </c>
      <c r="P252" s="156">
        <f t="shared" ca="1" si="79"/>
        <v>88.232453900709217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IFERROR(__xludf.DUMMYFUNCTION("IMPORTRANGE(""https://docs.google.com/spreadsheets/d/1Yj_ptqi66GCucihVvJfMjLAmec39IyEx_6qawtMGysU/edit?usp=sharing"",""สบก!CB35"")"),141000)</f>
        <v>141000</v>
      </c>
      <c r="N254" s="168">
        <f ca="1">IFERROR(__xludf.DUMMYFUNCTION("IMPORTRANGE(""https://docs.google.com/spreadsheets/d/1Yj_ptqi66GCucihVvJfMjLAmec39IyEx_6qawtMGysU/edit?usp=sharing"",""สบก!CC35"")"),124407.76)</f>
        <v>124407.76</v>
      </c>
      <c r="O254" s="168">
        <f ca="1">IF(L254&gt;0,N254*100/L254,0)</f>
        <v>61.164090462143562</v>
      </c>
      <c r="P254" s="168">
        <f ca="1">IF(M254&gt;0,N254*100/M254,0)</f>
        <v>88.232453900709217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IFERROR(__xludf.DUMMYFUNCTION("IMPORTRANGE(""https://docs.google.com/spreadsheets/d/11923uPwbBZFjjGgGUA6NLw09EwE0CqkOc4q9oUmW1yo/edit?usp=sharing"",""อุตรดิตถ์!J184"")"),0)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IFERROR(__xludf.DUMMYFUNCTION("IMPORTRANGE(""https://docs.google.com/spreadsheets/d/11923uPwbBZFjjGgGUA6NLw09EwE0CqkOc4q9oUmW1yo/edit?usp=sharing"",""อุตรดิตถ์!I185"")"),0)</f>
        <v>0</v>
      </c>
      <c r="J270" s="315">
        <f ca="1">IFERROR(__xludf.DUMMYFUNCTION("IMPORTRANGE(""https://docs.google.com/spreadsheets/d/11923uPwbBZFjjGgGUA6NLw09EwE0CqkOc4q9oUmW1yo/edit?usp=sharing"",""อุตรดิตถ์!J185"")"),0)</f>
        <v>0</v>
      </c>
      <c r="K270" s="316">
        <f ca="1">IF(I270&gt;0,J270*100/I270,0)</f>
        <v>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IFERROR(__xludf.DUMMYFUNCTION("IMPORTRANGE(""https://docs.google.com/spreadsheets/d/11923uPwbBZFjjGgGUA6NLw09EwE0CqkOc4q9oUmW1yo/edit?usp=sharing"",""อุตรดิตถ์!I199"")"),0)</f>
        <v>0</v>
      </c>
      <c r="J289" s="315">
        <f ca="1">IFERROR(__xludf.DUMMYFUNCTION("IMPORTRANGE(""https://docs.google.com/spreadsheets/d/11923uPwbBZFjjGgGUA6NLw09EwE0CqkOc4q9oUmW1yo/edit?usp=sharing"",""อุตรดิตถ์!J199"")"),0)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IFERROR(__xludf.DUMMYFUNCTION("IMPORTRANGE(""https://docs.google.com/spreadsheets/d/11923uPwbBZFjjGgGUA6NLw09EwE0CqkOc4q9oUmW1yo/edit?usp=sharing"",""อุตรดิตถ์!J213"")"),0)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IFERROR(__xludf.DUMMYFUNCTION("IMPORTRANGE(""https://docs.google.com/spreadsheets/d/11923uPwbBZFjjGgGUA6NLw09EwE0CqkOc4q9oUmW1yo/edit?usp=sharing"",""อุตรดิตถ์!I214"")"),0)</f>
        <v>0</v>
      </c>
      <c r="J309" s="332">
        <f ca="1">IFERROR(__xludf.DUMMYFUNCTION("IMPORTRANGE(""https://docs.google.com/spreadsheets/d/11923uPwbBZFjjGgGUA6NLw09EwE0CqkOc4q9oUmW1yo/edit?usp=sharing"",""อุตรดิตถ์!J214"")"),0)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IFERROR(__xludf.DUMMYFUNCTION("IMPORTRANGE(""https://docs.google.com/spreadsheets/d/11923uPwbBZFjjGgGUA6NLw09EwE0CqkOc4q9oUmW1yo/edit?usp=sharing"",""อุตรดิตถ์!J226"")"),0)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IFERROR(__xludf.DUMMYFUNCTION("IMPORTRANGE(""https://docs.google.com/spreadsheets/d/11923uPwbBZFjjGgGUA6NLw09EwE0CqkOc4q9oUmW1yo/edit?usp=sharing"",""อุตรดิตถ์!I228"")"),170)</f>
        <v>170</v>
      </c>
      <c r="J328" s="338">
        <f ca="1">IFERROR(__xludf.DUMMYFUNCTION("IMPORTRANGE(""https://docs.google.com/spreadsheets/d/11923uPwbBZFjjGgGUA6NLw09EwE0CqkOc4q9oUmW1yo/edit?usp=sharing"",""อุตรดิตถ์!J228"")"),113)</f>
        <v>113</v>
      </c>
      <c r="K328" s="316">
        <f ca="1">IF(I328&gt;0,J328*100/I328,0)</f>
        <v>66.470588235294116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906300</v>
      </c>
      <c r="M329" s="152">
        <f t="shared" ca="1" si="98"/>
        <v>673400</v>
      </c>
      <c r="N329" s="152">
        <f t="shared" ca="1" si="98"/>
        <v>453761</v>
      </c>
      <c r="O329" s="151">
        <f t="shared" ref="O329:O331" ca="1" si="99">IF(L329&gt;0,N329*100/L329,0)</f>
        <v>50.067416970098201</v>
      </c>
      <c r="P329" s="151">
        <f t="shared" ref="P329:P331" ca="1" si="100">IF(M329&gt;0,N329*100/M329,0)</f>
        <v>67.383575883575887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906300</v>
      </c>
      <c r="M331" s="88">
        <f t="shared" ca="1" si="102"/>
        <v>673400</v>
      </c>
      <c r="N331" s="88">
        <f t="shared" ca="1" si="102"/>
        <v>453761</v>
      </c>
      <c r="O331" s="156">
        <f t="shared" ca="1" si="99"/>
        <v>50.067416970098201</v>
      </c>
      <c r="P331" s="156">
        <f t="shared" ca="1" si="100"/>
        <v>67.383575883575887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906300</v>
      </c>
      <c r="M333" s="167">
        <f ca="1">IFERROR(__xludf.DUMMYFUNCTION("IMPORTRANGE(""https://docs.google.com/spreadsheets/d/1Yj_ptqi66GCucihVvJfMjLAmec39IyEx_6qawtMGysU/edit?usp=sharing"",""สบก!DL35"")"),673400)</f>
        <v>673400</v>
      </c>
      <c r="N333" s="168">
        <f ca="1">IFERROR(__xludf.DUMMYFUNCTION("IMPORTRANGE(""https://docs.google.com/spreadsheets/d/1Yj_ptqi66GCucihVvJfMjLAmec39IyEx_6qawtMGysU/edit?usp=sharing"",""สบก!DM35"")"),453761)</f>
        <v>453761</v>
      </c>
      <c r="O333" s="168">
        <f ca="1">IF(L333&gt;0,N333*100/L333,0)</f>
        <v>50.067416970098201</v>
      </c>
      <c r="P333" s="168">
        <f ca="1">IF(M333&gt;0,N333*100/M333,0)</f>
        <v>67.383575883575887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IFERROR(__xludf.DUMMYFUNCTION("IMPORTRANGE(""https://docs.google.com/spreadsheets/d/1Yj_ptqi66GCucihVvJfMjLAmec39IyEx_6qawtMGysU/edit?usp=sharing"",""สบก!DI35"")"),292300)</f>
        <v>292300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IFERROR(__xludf.DUMMYFUNCTION("IMPORTRANGE(""https://docs.google.com/spreadsheets/d/11923uPwbBZFjjGgGUA6NLw09EwE0CqkOc4q9oUmW1yo/edit?usp=sharing"",""อุตรดิตถ์!J234"")"),44)</f>
        <v>44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IFERROR(__xludf.DUMMYFUNCTION("IMPORTRANGE(""https://docs.google.com/spreadsheets/d/11923uPwbBZFjjGgGUA6NLw09EwE0CqkOc4q9oUmW1yo/edit?usp=sharing"",""อุตรดิตถ์!J235"")"),242.65)</f>
        <v>242.65</v>
      </c>
      <c r="K340" s="341">
        <f t="shared" ca="1" si="103"/>
        <v>30.331250000000001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IFERROR(__xludf.DUMMYFUNCTION("IMPORTRANGE(""https://docs.google.com/spreadsheets/d/11923uPwbBZFjjGgGUA6NLw09EwE0CqkOc4q9oUmW1yo/edit?usp=sharing"",""อุตรดิตถ์!I236"")"),170)</f>
        <v>170</v>
      </c>
      <c r="J341" s="187">
        <f ca="1">IFERROR(__xludf.DUMMYFUNCTION("IMPORTRANGE(""https://docs.google.com/spreadsheets/d/11923uPwbBZFjjGgGUA6NLw09EwE0CqkOc4q9oUmW1yo/edit?usp=sharing"",""อุตรดิตถ์!J236"")"),135)</f>
        <v>135</v>
      </c>
      <c r="K341" s="341">
        <f t="shared" ca="1" si="103"/>
        <v>79.411764705882348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IFERROR(__xludf.DUMMYFUNCTION("IMPORTRANGE(""https://docs.google.com/spreadsheets/d/11923uPwbBZFjjGgGUA6NLw09EwE0CqkOc4q9oUmW1yo/edit?usp=sharing"",""อุตรดิตถ์!J237"")"),1355.05)</f>
        <v>1355.05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IFERROR(__xludf.DUMMYFUNCTION("IMPORTRANGE(""https://docs.google.com/spreadsheets/d/11923uPwbBZFjjGgGUA6NLw09EwE0CqkOc4q9oUmW1yo/edit?usp=sharing"",""อุตรดิตถ์!I238"")"),170)</f>
        <v>170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IFERROR(__xludf.DUMMYFUNCTION("IMPORTRANGE(""https://docs.google.com/spreadsheets/d/11923uPwbBZFjjGgGUA6NLw09EwE0CqkOc4q9oUmW1yo/edit?usp=sharing"",""อุตรดิตถ์!I240"")"),170)</f>
        <v>170</v>
      </c>
      <c r="J345" s="187">
        <f ca="1">IFERROR(__xludf.DUMMYFUNCTION("IMPORTRANGE(""https://docs.google.com/spreadsheets/d/11923uPwbBZFjjGgGUA6NLw09EwE0CqkOc4q9oUmW1yo/edit?usp=sharing"",""อุตรดิตถ์!J240"")"),113)</f>
        <v>113</v>
      </c>
      <c r="K345" s="341">
        <f t="shared" ca="1" si="103"/>
        <v>66.470588235294116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IFERROR(__xludf.DUMMYFUNCTION("IMPORTRANGE(""https://docs.google.com/spreadsheets/d/11923uPwbBZFjjGgGUA6NLw09EwE0CqkOc4q9oUmW1yo/edit?usp=sharing"",""อุตรดิตถ์!J241"")"),1215.85)</f>
        <v>1215.8499999999999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IFERROR(__xludf.DUMMYFUNCTION("IMPORTRANGE(""https://docs.google.com/spreadsheets/d/11923uPwbBZFjjGgGUA6NLw09EwE0CqkOc4q9oUmW1yo/edit?usp=sharing"",""อุตรดิตถ์!L242"")"),2204727.35)</f>
        <v>2204727.35</v>
      </c>
      <c r="M347" s="357"/>
      <c r="N347" s="357">
        <f ca="1">IFERROR(__xludf.DUMMYFUNCTION("IMPORTRANGE(""https://docs.google.com/spreadsheets/d/11923uPwbBZFjjGgGUA6NLw09EwE0CqkOc4q9oUmW1yo/edit?usp=sharing"",""อุตรดิตถ์!M242"")"),892228.6)</f>
        <v>892228.6</v>
      </c>
      <c r="O347" s="357">
        <f ca="1">+IF(L347&gt;0,N347*100/L347,0)</f>
        <v>40.46888609605174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IFERROR(__xludf.DUMMYFUNCTION("IMPORTRANGE(""https://docs.google.com/spreadsheets/d/11923uPwbBZFjjGgGUA6NLw09EwE0CqkOc4q9oUmW1yo/edit?usp=sharing"",""อุตรดิตถ์!J244"")"),10)</f>
        <v>10</v>
      </c>
      <c r="K349" s="371">
        <f t="shared" ref="K349:K350" ca="1" si="104">IF(I349&gt;0,J349*100/I349,0)</f>
        <v>33.333333333333336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IFERROR(__xludf.DUMMYFUNCTION("IMPORTRANGE(""https://docs.google.com/spreadsheets/d/11923uPwbBZFjjGgGUA6NLw09EwE0CqkOc4q9oUmW1yo/edit?usp=sharing"",""อุตรดิตถ์!M244"")"),117990.1)</f>
        <v>117990.1</v>
      </c>
      <c r="O349" s="372">
        <f ca="1">+IF(L349&gt;0,N349*100/L349,0)</f>
        <v>45.77517846058349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IFERROR(__xludf.DUMMYFUNCTION("IMPORTRANGE(""https://docs.google.com/spreadsheets/d/11923uPwbBZFjjGgGUA6NLw09EwE0CqkOc4q9oUmW1yo/edit?usp=sharing"",""อุตรดิตถ์!M247"")"),117990.1)</f>
        <v>117990.1</v>
      </c>
      <c r="O352" s="165">
        <f t="shared" ca="1" si="105"/>
        <v>45.77517846058349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IFERROR(__xludf.DUMMYFUNCTION("IMPORTRANGE(""https://docs.google.com/spreadsheets/d/11923uPwbBZFjjGgGUA6NLw09EwE0CqkOc4q9oUmW1yo/edit?usp=sharing"",""อุตรดิตถ์!M249"")"),117990.1)</f>
        <v>117990.1</v>
      </c>
      <c r="O354" s="168">
        <f t="shared" ca="1" si="105"/>
        <v>45.77517846058349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IFERROR(__xludf.DUMMYFUNCTION("IMPORTRANGE(""https://docs.google.com/spreadsheets/d/11923uPwbBZFjjGgGUA6NLw09EwE0CqkOc4q9oUmW1yo/edit?usp=sharing"",""อุตรดิตถ์!M251"")"),14038)</f>
        <v>14038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IFERROR(__xludf.DUMMYFUNCTION("IMPORTRANGE(""https://docs.google.com/spreadsheets/d/11923uPwbBZFjjGgGUA6NLw09EwE0CqkOc4q9oUmW1yo/edit?usp=sharing"",""อุตรดิตถ์!M252"")"),41635)</f>
        <v>41635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IFERROR(__xludf.DUMMYFUNCTION("IMPORTRANGE(""https://docs.google.com/spreadsheets/d/11923uPwbBZFjjGgGUA6NLw09EwE0CqkOc4q9oUmW1yo/edit?usp=sharing"",""อุตรดิตถ์!M253"")"),9935.1)</f>
        <v>9935.1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IFERROR(__xludf.DUMMYFUNCTION("IMPORTRANGE(""https://docs.google.com/spreadsheets/d/11923uPwbBZFjjGgGUA6NLw09EwE0CqkOc4q9oUmW1yo/edit?usp=sharing"",""อุตรดิตถ์!J270"")"),10)</f>
        <v>10</v>
      </c>
      <c r="K375" s="163">
        <f t="shared" ref="K375:K377" ca="1" si="107">IF(I375&gt;0,J375*100/I375,0)</f>
        <v>33.333333333333336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IFERROR(__xludf.DUMMYFUNCTION("IMPORTRANGE(""https://docs.google.com/spreadsheets/d/11923uPwbBZFjjGgGUA6NLw09EwE0CqkOc4q9oUmW1yo/edit?usp=sharing"",""อุตรดิตถ์!M275"")"),261454.8)</f>
        <v>261454.8</v>
      </c>
      <c r="O380" s="372">
        <f ca="1">+IF(L380&gt;0,N380*100/L380,0)</f>
        <v>25.420487691051218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IFERROR(__xludf.DUMMYFUNCTION("IMPORTRANGE(""https://docs.google.com/spreadsheets/d/11923uPwbBZFjjGgGUA6NLw09EwE0CqkOc4q9oUmW1yo/edit?usp=sharing"",""อุตรดิตถ์!M278"")"),261454.8)</f>
        <v>261454.8</v>
      </c>
      <c r="O383" s="165">
        <f t="shared" ca="1" si="109"/>
        <v>25.420487691051218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IFERROR(__xludf.DUMMYFUNCTION("IMPORTRANGE(""https://docs.google.com/spreadsheets/d/11923uPwbBZFjjGgGUA6NLw09EwE0CqkOc4q9oUmW1yo/edit?usp=sharing"",""อุตรดิตถ์!M280"")"),261454.8)</f>
        <v>261454.8</v>
      </c>
      <c r="O385" s="168">
        <f t="shared" ca="1" si="109"/>
        <v>25.420487691051218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IFERROR(__xludf.DUMMYFUNCTION("IMPORTRANGE(""https://docs.google.com/spreadsheets/d/11923uPwbBZFjjGgGUA6NLw09EwE0CqkOc4q9oUmW1yo/edit?usp=sharing"",""อุตรดิตถ์!M281"")"),190055)</f>
        <v>190055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IFERROR(__xludf.DUMMYFUNCTION("IMPORTRANGE(""https://docs.google.com/spreadsheets/d/11923uPwbBZFjjGgGUA6NLw09EwE0CqkOc4q9oUmW1yo/edit?usp=sharing"",""อุตรดิตถ์!M283"")"),47685)</f>
        <v>47685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IFERROR(__xludf.DUMMYFUNCTION("IMPORTRANGE(""https://docs.google.com/spreadsheets/d/11923uPwbBZFjjGgGUA6NLw09EwE0CqkOc4q9oUmW1yo/edit?usp=sharing"",""อุตรดิตถ์!M284"")"),23714.8)</f>
        <v>23714.799999999999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IFERROR(__xludf.DUMMYFUNCTION("IMPORTRANGE(""https://docs.google.com/spreadsheets/d/11923uPwbBZFjjGgGUA6NLw09EwE0CqkOc4q9oUmW1yo/edit?usp=sharing"",""อุตรดิตถ์!M296"")"),117175)</f>
        <v>117175</v>
      </c>
      <c r="O401" s="372">
        <f ca="1">+IF(L401&gt;0,N401*100/L401,0)</f>
        <v>73.25726789621757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IFERROR(__xludf.DUMMYFUNCTION("IMPORTRANGE(""https://docs.google.com/spreadsheets/d/11923uPwbBZFjjGgGUA6NLw09EwE0CqkOc4q9oUmW1yo/edit?usp=sharing"",""อุตรดิตถ์!J297"")"),35)</f>
        <v>35</v>
      </c>
      <c r="K402" s="371">
        <f t="shared" ca="1" si="111"/>
        <v>77.777777777777771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IFERROR(__xludf.DUMMYFUNCTION("IMPORTRANGE(""https://docs.google.com/spreadsheets/d/11923uPwbBZFjjGgGUA6NLw09EwE0CqkOc4q9oUmW1yo/edit?usp=sharing"",""อุตรดิตถ์!M299"")"),117175)</f>
        <v>117175</v>
      </c>
      <c r="O404" s="168">
        <f t="shared" ca="1" si="112"/>
        <v>73.25726789621757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IFERROR(__xludf.DUMMYFUNCTION("IMPORTRANGE(""https://docs.google.com/spreadsheets/d/11923uPwbBZFjjGgGUA6NLw09EwE0CqkOc4q9oUmW1yo/edit?usp=sharing"",""อุตรดิตถ์!M301"")"),117175)</f>
        <v>117175</v>
      </c>
      <c r="O406" s="168">
        <f t="shared" ca="1" si="112"/>
        <v>73.25726789621757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IFERROR(__xludf.DUMMYFUNCTION("IMPORTRANGE(""https://docs.google.com/spreadsheets/d/11923uPwbBZFjjGgGUA6NLw09EwE0CqkOc4q9oUmW1yo/edit?usp=sharing"",""อุตรดิตถ์!M303"")"),20035)</f>
        <v>20035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IFERROR(__xludf.DUMMYFUNCTION("IMPORTRANGE(""https://docs.google.com/spreadsheets/d/11923uPwbBZFjjGgGUA6NLw09EwE0CqkOc4q9oUmW1yo/edit?usp=sharing"",""อุตรดิตถ์!M305"")"),8384)</f>
        <v>8384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IFERROR(__xludf.DUMMYFUNCTION("IMPORTRANGE(""https://docs.google.com/spreadsheets/d/11923uPwbBZFjjGgGUA6NLw09EwE0CqkOc4q9oUmW1yo/edit?usp=sharing"",""อุตรดิตถ์!J327"")"),11)</f>
        <v>11</v>
      </c>
      <c r="K432" s="163">
        <f t="shared" ca="1" si="113"/>
        <v>44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IFERROR(__xludf.DUMMYFUNCTION("IMPORTRANGE(""https://docs.google.com/spreadsheets/d/11923uPwbBZFjjGgGUA6NLw09EwE0CqkOc4q9oUmW1yo/edit?usp=sharing"",""อุตรดิตถ์!M330"")"),51995)</f>
        <v>51995</v>
      </c>
      <c r="O435" s="411">
        <f t="shared" ref="O435:O439" ca="1" si="114">+IF(L435&gt;0,N435*100/L435,0)</f>
        <v>51.994999999999997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IFERROR(__xludf.DUMMYFUNCTION("IMPORTRANGE(""https://docs.google.com/spreadsheets/d/11923uPwbBZFjjGgGUA6NLw09EwE0CqkOc4q9oUmW1yo/edit?usp=sharing"",""อุตรดิตถ์!M332"")"),51995)</f>
        <v>51995</v>
      </c>
      <c r="O437" s="168">
        <f t="shared" ca="1" si="114"/>
        <v>51.994999999999997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IFERROR(__xludf.DUMMYFUNCTION("IMPORTRANGE(""https://docs.google.com/spreadsheets/d/11923uPwbBZFjjGgGUA6NLw09EwE0CqkOc4q9oUmW1yo/edit?usp=sharing"",""อุตรดิตถ์!M334"")"),51995)</f>
        <v>51995</v>
      </c>
      <c r="O439" s="168">
        <f t="shared" ca="1" si="114"/>
        <v>51.994999999999997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IFERROR(__xludf.DUMMYFUNCTION("IMPORTRANGE(""https://docs.google.com/spreadsheets/d/11923uPwbBZFjjGgGUA6NLw09EwE0CqkOc4q9oUmW1yo/edit?usp=sharing"",""อุตรดิตถ์!M335"")"),30176)</f>
        <v>30176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IFERROR(__xludf.DUMMYFUNCTION("IMPORTRANGE(""https://docs.google.com/spreadsheets/d/11923uPwbBZFjjGgGUA6NLw09EwE0CqkOc4q9oUmW1yo/edit?usp=sharing"",""อุตรดิตถ์!M338"")"),21819)</f>
        <v>21819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IFERROR(__xludf.DUMMYFUNCTION("IMPORTRANGE(""https://docs.google.com/spreadsheets/d/11923uPwbBZFjjGgGUA6NLw09EwE0CqkOc4q9oUmW1yo/edit?usp=sharing"",""อุตรดิตถ์!L350"")"),190727.35)</f>
        <v>190727.35</v>
      </c>
      <c r="M455" s="372"/>
      <c r="N455" s="372">
        <f ca="1">IFERROR(__xludf.DUMMYFUNCTION("IMPORTRANGE(""https://docs.google.com/spreadsheets/d/11923uPwbBZFjjGgGUA6NLw09EwE0CqkOc4q9oUmW1yo/edit?usp=sharing"",""อุตรดิตถ์!M350"")"),41034.5)</f>
        <v>41034.5</v>
      </c>
      <c r="O455" s="372">
        <f t="shared" ref="O455:O459" ca="1" si="116">+IF(L455&gt;0,N455*100/L455,0)</f>
        <v>21.514743428249801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IFERROR(__xludf.DUMMYFUNCTION("IMPORTRANGE(""https://docs.google.com/spreadsheets/d/11923uPwbBZFjjGgGUA6NLw09EwE0CqkOc4q9oUmW1yo/edit?usp=sharing"",""อุตรดิตถ์!L352"")"),190727.35)</f>
        <v>190727.35</v>
      </c>
      <c r="M457" s="165"/>
      <c r="N457" s="168">
        <f ca="1">IFERROR(__xludf.DUMMYFUNCTION("IMPORTRANGE(""https://docs.google.com/spreadsheets/d/11923uPwbBZFjjGgGUA6NLw09EwE0CqkOc4q9oUmW1yo/edit?usp=sharing"",""อุตรดิตถ์!M352"")"),41034.5)</f>
        <v>41034.5</v>
      </c>
      <c r="O457" s="168">
        <f t="shared" ca="1" si="116"/>
        <v>21.514743428249801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IFERROR(__xludf.DUMMYFUNCTION("IMPORTRANGE(""https://docs.google.com/spreadsheets/d/11923uPwbBZFjjGgGUA6NLw09EwE0CqkOc4q9oUmW1yo/edit?usp=sharing"",""อุตรดิตถ์!L354"")"),190727.35)</f>
        <v>190727.35</v>
      </c>
      <c r="M459" s="168"/>
      <c r="N459" s="168">
        <f ca="1">IFERROR(__xludf.DUMMYFUNCTION("IMPORTRANGE(""https://docs.google.com/spreadsheets/d/11923uPwbBZFjjGgGUA6NLw09EwE0CqkOc4q9oUmW1yo/edit?usp=sharing"",""อุตรดิตถ์!M354"")"),41034.5)</f>
        <v>41034.5</v>
      </c>
      <c r="O459" s="168">
        <f t="shared" ca="1" si="116"/>
        <v>21.514743428249801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IFERROR(__xludf.DUMMYFUNCTION("IMPORTRANGE(""https://docs.google.com/spreadsheets/d/11923uPwbBZFjjGgGUA6NLw09EwE0CqkOc4q9oUmW1yo/edit?usp=sharing"",""อุตรดิตถ์!M358"")"),41034.5)</f>
        <v>41034.5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IFERROR(__xludf.DUMMYFUNCTION("IMPORTRANGE(""https://docs.google.com/spreadsheets/d/11923uPwbBZFjjGgGUA6NLw09EwE0CqkOc4q9oUmW1yo/edit?usp=sharing"",""อุตรดิตถ์!I359"")"),27138)</f>
        <v>27138</v>
      </c>
      <c r="J464" s="266">
        <f ca="1">IFERROR(__xludf.DUMMYFUNCTION("IMPORTRANGE(""https://docs.google.com/spreadsheets/d/11923uPwbBZFjjGgGUA6NLw09EwE0CqkOc4q9oUmW1yo/edit?usp=sharing"",""อุตรดิตถ์!J359"")"),0)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IFERROR(__xludf.DUMMYFUNCTION("IMPORTRANGE(""https://docs.google.com/spreadsheets/d/11923uPwbBZFjjGgGUA6NLw09EwE0CqkOc4q9oUmW1yo/edit?usp=sharing"",""อุตรดิตถ์!I411"")"),0)</f>
        <v>0</v>
      </c>
      <c r="J516" s="266">
        <f ca="1">IFERROR(__xludf.DUMMYFUNCTION("IMPORTRANGE(""https://docs.google.com/spreadsheets/d/11923uPwbBZFjjGgGUA6NLw09EwE0CqkOc4q9oUmW1yo/edit?usp=sharing"",""อุตรดิตถ์!J411"")"),0)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IFERROR(__xludf.DUMMYFUNCTION("IMPORTRANGE(""https://docs.google.com/spreadsheets/d/11923uPwbBZFjjGgGUA6NLw09EwE0CqkOc4q9oUmW1yo/edit?usp=sharing"",""อุตรดิตถ์!I412"")"),0)</f>
        <v>0</v>
      </c>
      <c r="J517" s="283">
        <f ca="1">IFERROR(__xludf.DUMMYFUNCTION("IMPORTRANGE(""https://docs.google.com/spreadsheets/d/11923uPwbBZFjjGgGUA6NLw09EwE0CqkOc4q9oUmW1yo/edit?usp=sharing"",""อุตรดิตถ์!J412"")"),0)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IFERROR(__xludf.DUMMYFUNCTION("IMPORTRANGE(""https://docs.google.com/spreadsheets/d/11923uPwbBZFjjGgGUA6NLw09EwE0CqkOc4q9oUmW1yo/edit?usp=sharing"",""อุตรดิตถ์!I413"")"),0)</f>
        <v>0</v>
      </c>
      <c r="J518" s="283">
        <f ca="1">IFERROR(__xludf.DUMMYFUNCTION("IMPORTRANGE(""https://docs.google.com/spreadsheets/d/11923uPwbBZFjjGgGUA6NLw09EwE0CqkOc4q9oUmW1yo/edit?usp=sharing"",""อุตรดิตถ์!J413"")"),0)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IFERROR(__xludf.DUMMYFUNCTION("IMPORTRANGE(""https://docs.google.com/spreadsheets/d/11923uPwbBZFjjGgGUA6NLw09EwE0CqkOc4q9oUmW1yo/edit?usp=sharing"",""อุตรดิตถ์!I420"")"),0)</f>
        <v>0</v>
      </c>
      <c r="J525" s="283">
        <f ca="1">IFERROR(__xludf.DUMMYFUNCTION("IMPORTRANGE(""https://docs.google.com/spreadsheets/d/11923uPwbBZFjjGgGUA6NLw09EwE0CqkOc4q9oUmW1yo/edit?usp=sharing"",""อุตรดิตถ์!J420"")"),0)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IFERROR(__xludf.DUMMYFUNCTION("IMPORTRANGE(""https://docs.google.com/spreadsheets/d/11923uPwbBZFjjGgGUA6NLw09EwE0CqkOc4q9oUmW1yo/edit?usp=sharing"",""อุตรดิตถ์!I421"")"),0)</f>
        <v>0</v>
      </c>
      <c r="J526" s="283">
        <f ca="1">IFERROR(__xludf.DUMMYFUNCTION("IMPORTRANGE(""https://docs.google.com/spreadsheets/d/11923uPwbBZFjjGgGUA6NLw09EwE0CqkOc4q9oUmW1yo/edit?usp=sharing"",""อุตรดิตถ์!J421"")"),0)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IFERROR(__xludf.DUMMYFUNCTION("IMPORTRANGE(""https://docs.google.com/spreadsheets/d/11923uPwbBZFjjGgGUA6NLw09EwE0CqkOc4q9oUmW1yo/edit?usp=sharing"",""อุตรดิตถ์!M428"")"),23281)</f>
        <v>23281</v>
      </c>
      <c r="O533" s="411">
        <f t="shared" ref="O533:O537" ca="1" si="118">+IF(L533&gt;0,N533*100/L533,0)</f>
        <v>67.795573675014566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IFERROR(__xludf.DUMMYFUNCTION("IMPORTRANGE(""https://docs.google.com/spreadsheets/d/11923uPwbBZFjjGgGUA6NLw09EwE0CqkOc4q9oUmW1yo/edit?usp=sharing"",""อุตรดิตถ์!M430"")"),23281)</f>
        <v>23281</v>
      </c>
      <c r="O535" s="168">
        <f t="shared" ca="1" si="118"/>
        <v>67.795573675014566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IFERROR(__xludf.DUMMYFUNCTION("IMPORTRANGE(""https://docs.google.com/spreadsheets/d/11923uPwbBZFjjGgGUA6NLw09EwE0CqkOc4q9oUmW1yo/edit?usp=sharing"",""อุตรดิตถ์!M432"")"),23281)</f>
        <v>23281</v>
      </c>
      <c r="O537" s="168">
        <f t="shared" ca="1" si="118"/>
        <v>67.795573675014566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IFERROR(__xludf.DUMMYFUNCTION("IMPORTRANGE(""https://docs.google.com/spreadsheets/d/11923uPwbBZFjjGgGUA6NLw09EwE0CqkOc4q9oUmW1yo/edit?usp=sharing"",""อุตรดิตถ์!M436"")"),4541)</f>
        <v>4541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IFERROR(__xludf.DUMMYFUNCTION("IMPORTRANGE(""https://docs.google.com/spreadsheets/d/11923uPwbBZFjjGgGUA6NLw09EwE0CqkOc4q9oUmW1yo/edit?usp=sharing"",""อุตรดิตถ์!J446"")"),3044)</f>
        <v>3044</v>
      </c>
      <c r="K551" s="410">
        <f ca="1">IF(I551&gt;0,J551*100/I551,0)</f>
        <v>60.88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IFERROR(__xludf.DUMMYFUNCTION("IMPORTRANGE(""https://docs.google.com/spreadsheets/d/11923uPwbBZFjjGgGUA6NLw09EwE0CqkOc4q9oUmW1yo/edit?usp=sharing"",""อุตรดิตถ์!M446"")"),214134.2)</f>
        <v>214134.2</v>
      </c>
      <c r="O551" s="411">
        <f t="shared" ref="O551:O555" ca="1" si="120">+IF(L551&gt;0,N551*100/L551,0)</f>
        <v>71.378066666666669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IFERROR(__xludf.DUMMYFUNCTION("IMPORTRANGE(""https://docs.google.com/spreadsheets/d/11923uPwbBZFjjGgGUA6NLw09EwE0CqkOc4q9oUmW1yo/edit?usp=sharing"",""อุตรดิตถ์!M448"")"),214134.2)</f>
        <v>214134.2</v>
      </c>
      <c r="O553" s="168">
        <f t="shared" ca="1" si="120"/>
        <v>71.378066666666669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IFERROR(__xludf.DUMMYFUNCTION("IMPORTRANGE(""https://docs.google.com/spreadsheets/d/11923uPwbBZFjjGgGUA6NLw09EwE0CqkOc4q9oUmW1yo/edit?usp=sharing"",""อุตรดิตถ์!M450"")"),214134.2)</f>
        <v>214134.2</v>
      </c>
      <c r="O555" s="168">
        <f t="shared" ca="1" si="120"/>
        <v>71.378066666666669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IFERROR(__xludf.DUMMYFUNCTION("IMPORTRANGE(""https://docs.google.com/spreadsheets/d/11923uPwbBZFjjGgGUA6NLw09EwE0CqkOc4q9oUmW1yo/edit?usp=sharing"",""อุตรดิตถ์!M453"")"),42600)</f>
        <v>42600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IFERROR(__xludf.DUMMYFUNCTION("IMPORTRANGE(""https://docs.google.com/spreadsheets/d/11923uPwbBZFjjGgGUA6NLw09EwE0CqkOc4q9oUmW1yo/edit?usp=sharing"",""อุตรดิตถ์!M454"")"),171534.2)</f>
        <v>171534.2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IFERROR(__xludf.DUMMYFUNCTION("IMPORTRANGE(""https://docs.google.com/spreadsheets/d/11923uPwbBZFjjGgGUA6NLw09EwE0CqkOc4q9oUmW1yo/edit?usp=sharing"",""อุตรดิตถ์!J455"")"),3044)</f>
        <v>3044</v>
      </c>
      <c r="K560" s="223">
        <f t="shared" ref="K560:K561" ca="1" si="121">IF(I560&gt;0,J560*100/I560,0)</f>
        <v>60.88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IFERROR(__xludf.DUMMYFUNCTION("IMPORTRANGE(""https://docs.google.com/spreadsheets/d/11923uPwbBZFjjGgGUA6NLw09EwE0CqkOc4q9oUmW1yo/edit?usp=sharing"",""อุตรดิตถ์!J456"")"),440)</f>
        <v>440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IFERROR(__xludf.DUMMYFUNCTION("IMPORTRANGE(""https://docs.google.com/spreadsheets/d/11923uPwbBZFjjGgGUA6NLw09EwE0CqkOc4q9oUmW1yo/edit?usp=sharing"",""อุตรดิตถ์!J459"")"),2025)</f>
        <v>2025</v>
      </c>
      <c r="K564" s="371">
        <f ca="1">IF(I564&gt;0,J564*100/I564,0)</f>
        <v>184.09090909090909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IFERROR(__xludf.DUMMYFUNCTION("IMPORTRANGE(""https://docs.google.com/spreadsheets/d/11923uPwbBZFjjGgGUA6NLw09EwE0CqkOc4q9oUmW1yo/edit?usp=sharing"",""อุตรดิตถ์!M459"")"),63564)</f>
        <v>63564</v>
      </c>
      <c r="O564" s="372">
        <f t="shared" ref="O564:O568" ca="1" si="122">+IF(L564&gt;0,N564*100/L564,0)</f>
        <v>49.940289126335635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IFERROR(__xludf.DUMMYFUNCTION("IMPORTRANGE(""https://docs.google.com/spreadsheets/d/11923uPwbBZFjjGgGUA6NLw09EwE0CqkOc4q9oUmW1yo/edit?usp=sharing"",""อุตรดิตถ์!M461"")"),63564)</f>
        <v>63564</v>
      </c>
      <c r="O566" s="168">
        <f t="shared" ca="1" si="122"/>
        <v>49.940289126335635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IFERROR(__xludf.DUMMYFUNCTION("IMPORTRANGE(""https://docs.google.com/spreadsheets/d/11923uPwbBZFjjGgGUA6NLw09EwE0CqkOc4q9oUmW1yo/edit?usp=sharing"",""อุตรดิตถ์!M463"")"),63564)</f>
        <v>63564</v>
      </c>
      <c r="O568" s="168">
        <f t="shared" ca="1" si="122"/>
        <v>49.940289126335635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IFERROR(__xludf.DUMMYFUNCTION("IMPORTRANGE(""https://docs.google.com/spreadsheets/d/11923uPwbBZFjjGgGUA6NLw09EwE0CqkOc4q9oUmW1yo/edit?usp=sharing"",""อุตรดิตถ์!M466"")"),42568)</f>
        <v>42568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IFERROR(__xludf.DUMMYFUNCTION("IMPORTRANGE(""https://docs.google.com/spreadsheets/d/11923uPwbBZFjjGgGUA6NLw09EwE0CqkOc4q9oUmW1yo/edit?usp=sharing"",""อุตรดิตถ์!M467"")"),20996)</f>
        <v>20996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IFERROR(__xludf.DUMMYFUNCTION("IMPORTRANGE(""https://docs.google.com/spreadsheets/d/11923uPwbBZFjjGgGUA6NLw09EwE0CqkOc4q9oUmW1yo/edit?usp=sharing"",""อุตรดิตถ์!J468"")"),2025)</f>
        <v>2025</v>
      </c>
      <c r="K573" s="201">
        <f ca="1">IF(I573&gt;0,J573*100/I573,0)</f>
        <v>184.09090909090909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IFERROR(__xludf.DUMMYFUNCTION("IMPORTRANGE(""https://docs.google.com/spreadsheets/d/11923uPwbBZFjjGgGUA6NLw09EwE0CqkOc4q9oUmW1yo/edit?usp=sharing"",""อุตรดิตถ์!J471"")"),214)</f>
        <v>214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IFERROR(__xludf.DUMMYFUNCTION("IMPORTRANGE(""https://docs.google.com/spreadsheets/d/11923uPwbBZFjjGgGUA6NLw09EwE0CqkOc4q9oUmW1yo/edit?usp=sharing"",""อุตรดิตถ์!J472"")"),1370)</f>
        <v>1370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IFERROR(__xludf.DUMMYFUNCTION("IMPORTRANGE(""https://docs.google.com/spreadsheets/d/11923uPwbBZFjjGgGUA6NLw09EwE0CqkOc4q9oUmW1yo/edit?usp=sharing"",""อุตรดิตถ์!J474"")"),441)</f>
        <v>441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IFERROR(__xludf.DUMMYFUNCTION("IMPORTRANGE(""https://docs.google.com/spreadsheets/d/11923uPwbBZFjjGgGUA6NLw09EwE0CqkOc4q9oUmW1yo/edit?usp=sharing"",""อุตรดิตถ์!I491"")"),0)</f>
        <v>0</v>
      </c>
      <c r="J596" s="240">
        <f ca="1">IFERROR(__xludf.DUMMYFUNCTION("IMPORTRANGE(""https://docs.google.com/spreadsheets/d/11923uPwbBZFjjGgGUA6NLw09EwE0CqkOc4q9oUmW1yo/edit?usp=sharing"",""อุตรดิตถ์!J491"")"),0)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7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IFERROR(__xludf.DUMMYFUNCTION("IMPORTRANGE(""https://docs.google.com/spreadsheets/d/11923uPwbBZFjjGgGUA6NLw09EwE0CqkOc4q9oUmW1yo/edit?usp=sharing"",""อุตรดิตถ์!L492"")"),6150)</f>
        <v>6150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26.016260162601625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IFERROR(__xludf.DUMMYFUNCTION("IMPORTRANGE(""https://docs.google.com/spreadsheets/d/11923uPwbBZFjjGgGUA6NLw09EwE0CqkOc4q9oUmW1yo/edit?usp=sharing"",""อุตรดิตถ์!I523"")"),20731392.96)</f>
        <v>20731392.960000001</v>
      </c>
      <c r="J628" s="340">
        <f ca="1">IFERROR(__xludf.DUMMYFUNCTION("IMPORTRANGE(""https://docs.google.com/spreadsheets/d/11923uPwbBZFjjGgGUA6NLw09EwE0CqkOc4q9oUmW1yo/edit?usp=sharing"",""อุตรดิตถ์!J523"")"),8230579)</f>
        <v>8230579</v>
      </c>
      <c r="K628" s="341">
        <f t="shared" ref="K628:K635" ca="1" si="129">IF(I628&gt;0,J628*100/I628,0)</f>
        <v>39.701041873454507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IFERROR(__xludf.DUMMYFUNCTION("IMPORTRANGE(""https://docs.google.com/spreadsheets/d/11923uPwbBZFjjGgGUA6NLw09EwE0CqkOc4q9oUmW1yo/edit?usp=sharing"",""อุตรดิตถ์!I524"")"),842)</f>
        <v>842</v>
      </c>
      <c r="J629" s="340">
        <f ca="1">IFERROR(__xludf.DUMMYFUNCTION("IMPORTRANGE(""https://docs.google.com/spreadsheets/d/11923uPwbBZFjjGgGUA6NLw09EwE0CqkOc4q9oUmW1yo/edit?usp=sharing"",""อุตรดิตถ์!J524"")"),588)</f>
        <v>588</v>
      </c>
      <c r="K629" s="341">
        <f t="shared" ca="1" si="129"/>
        <v>69.833729216152022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IFERROR(__xludf.DUMMYFUNCTION("IMPORTRANGE(""https://docs.google.com/spreadsheets/d/11923uPwbBZFjjGgGUA6NLw09EwE0CqkOc4q9oUmW1yo/edit?usp=sharing"",""อุตรดิตถ์!I525"")"),19324248.74)</f>
        <v>19324248.739999998</v>
      </c>
      <c r="J630" s="340">
        <f ca="1">IFERROR(__xludf.DUMMYFUNCTION("IMPORTRANGE(""https://docs.google.com/spreadsheets/d/11923uPwbBZFjjGgGUA6NLw09EwE0CqkOc4q9oUmW1yo/edit?usp=sharing"",""อุตรดิตถ์!J525"")"),1598304.28)</f>
        <v>1598304.28</v>
      </c>
      <c r="K630" s="341">
        <f t="shared" ca="1" si="129"/>
        <v>8.2709775759179145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IFERROR(__xludf.DUMMYFUNCTION("IMPORTRANGE(""https://docs.google.com/spreadsheets/d/11923uPwbBZFjjGgGUA6NLw09EwE0CqkOc4q9oUmW1yo/edit?usp=sharing"",""อุตรดิตถ์!I526"")"),698)</f>
        <v>698</v>
      </c>
      <c r="J631" s="340">
        <f ca="1">IFERROR(__xludf.DUMMYFUNCTION("IMPORTRANGE(""https://docs.google.com/spreadsheets/d/11923uPwbBZFjjGgGUA6NLw09EwE0CqkOc4q9oUmW1yo/edit?usp=sharing"",""อุตรดิตถ์!J526"")"),254)</f>
        <v>254</v>
      </c>
      <c r="K631" s="341">
        <f t="shared" ca="1" si="129"/>
        <v>36.389684813753583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0">
        <f ca="1">IFERROR(__xludf.DUMMYFUNCTION("IMPORTRANGE(""https://docs.google.com/spreadsheets/d/11923uPwbBZFjjGgGUA6NLw09EwE0CqkOc4q9oUmW1yo/edit?usp=sharing"",""อุตรดิตถ์!J527"")"),168493.99)</f>
        <v>168493.99</v>
      </c>
      <c r="K632" s="341">
        <f t="shared" ca="1" si="129"/>
        <v>6.1136648999830792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IFERROR(__xludf.DUMMYFUNCTION("IMPORTRANGE(""https://docs.google.com/spreadsheets/d/11923uPwbBZFjjGgGUA6NLw09EwE0CqkOc4q9oUmW1yo/edit?usp=sharing"",""อุตรดิตถ์!I528"")"),79)</f>
        <v>79</v>
      </c>
      <c r="J633" s="340">
        <f ca="1">IFERROR(__xludf.DUMMYFUNCTION("IMPORTRANGE(""https://docs.google.com/spreadsheets/d/11923uPwbBZFjjGgGUA6NLw09EwE0CqkOc4q9oUmW1yo/edit?usp=sharing"",""อุตรดิตถ์!J528"")"),24)</f>
        <v>24</v>
      </c>
      <c r="K633" s="341">
        <f t="shared" ca="1" si="129"/>
        <v>30.379746835443036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0">
        <f ca="1">IFERROR(__xludf.DUMMYFUNCTION("IMPORTRANGE(""https://docs.google.com/spreadsheets/d/11923uPwbBZFjjGgGUA6NLw09EwE0CqkOc4q9oUmW1yo/edit?usp=sharing"",""อุตรดิตถ์!J529"")"),5870000)</f>
        <v>5870000</v>
      </c>
      <c r="K634" s="341">
        <f t="shared" ca="1" si="129"/>
        <v>39.133333333333333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IFERROR(__xludf.DUMMYFUNCTION("IMPORTRANGE(""https://docs.google.com/spreadsheets/d/11923uPwbBZFjjGgGUA6NLw09EwE0CqkOc4q9oUmW1yo/edit?usp=sharing"",""อุตรดิตถ์!I530"")"),400)</f>
        <v>400</v>
      </c>
      <c r="J635" s="504">
        <f ca="1">IFERROR(__xludf.DUMMYFUNCTION("IMPORTRANGE(""https://docs.google.com/spreadsheets/d/11923uPwbBZFjjGgGUA6NLw09EwE0CqkOc4q9oUmW1yo/edit?usp=sharing"",""อุตรดิตถ์!J530"")"),133)</f>
        <v>133</v>
      </c>
      <c r="K635" s="486">
        <f t="shared" ca="1" si="129"/>
        <v>33.25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270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6696150.0700000003</v>
      </c>
      <c r="M8" s="23">
        <f t="shared" ca="1" si="0"/>
        <v>3761178</v>
      </c>
      <c r="N8" s="23">
        <f t="shared" ca="1" si="0"/>
        <v>3096104.33</v>
      </c>
      <c r="O8" s="22">
        <f t="shared" ref="O8:O16" ca="1" si="1">IF(L8&gt;0,N8*100/L8,0)</f>
        <v>46.237080973903559</v>
      </c>
      <c r="P8" s="22">
        <f t="shared" ref="P8:P16" ca="1" si="2">IF(M8&gt;0,N8*100/M8,0)</f>
        <v>82.317410396423668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6696150.0700000003</v>
      </c>
      <c r="M10" s="30">
        <f t="shared" ca="1" si="4"/>
        <v>3761178</v>
      </c>
      <c r="N10" s="30">
        <f t="shared" ca="1" si="4"/>
        <v>3096104.33</v>
      </c>
      <c r="O10" s="29">
        <f t="shared" ca="1" si="1"/>
        <v>46.237080973903559</v>
      </c>
      <c r="P10" s="29">
        <f t="shared" ca="1" si="2"/>
        <v>82.317410396423668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6458750.0700000003</v>
      </c>
      <c r="M12" s="39">
        <f t="shared" ca="1" si="6"/>
        <v>3523778</v>
      </c>
      <c r="N12" s="39">
        <f t="shared" ca="1" si="6"/>
        <v>2858704.33</v>
      </c>
      <c r="O12" s="39">
        <f t="shared" ca="1" si="1"/>
        <v>44.260952955561571</v>
      </c>
      <c r="P12" s="39">
        <f t="shared" ca="1" si="2"/>
        <v>81.126118898523117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2346000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4112750.0700000003</v>
      </c>
      <c r="M14" s="39">
        <f t="shared" si="8"/>
        <v>0</v>
      </c>
      <c r="N14" s="39">
        <f t="shared" ca="1" si="8"/>
        <v>580157.32999999996</v>
      </c>
      <c r="O14" s="39">
        <f t="shared" ca="1" si="1"/>
        <v>14.106311351907651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237400</v>
      </c>
      <c r="M16" s="39">
        <f t="shared" ca="1" si="10"/>
        <v>237400</v>
      </c>
      <c r="N16" s="39">
        <f t="shared" ca="1" si="10"/>
        <v>237400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4508755</v>
      </c>
      <c r="M18" s="23">
        <f t="shared" ca="1" si="11"/>
        <v>3761178</v>
      </c>
      <c r="N18" s="23">
        <f t="shared" ca="1" si="11"/>
        <v>2515947</v>
      </c>
      <c r="O18" s="22">
        <f t="shared" ref="O18:O20" ca="1" si="12">IF(L18&gt;0,N18*100/L18,0)</f>
        <v>55.801368670508822</v>
      </c>
      <c r="P18" s="22">
        <f t="shared" ref="P18:P26" ca="1" si="13">IF(M18&gt;0,N18*100/M18,0)</f>
        <v>66.89252675624499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4508755</v>
      </c>
      <c r="M20" s="30">
        <f t="shared" ca="1" si="15"/>
        <v>3761178</v>
      </c>
      <c r="N20" s="30">
        <f t="shared" ca="1" si="15"/>
        <v>2515947</v>
      </c>
      <c r="O20" s="29">
        <f t="shared" ca="1" si="12"/>
        <v>55.801368670508822</v>
      </c>
      <c r="P20" s="29">
        <f t="shared" ca="1" si="13"/>
        <v>66.89252675624499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4271355</v>
      </c>
      <c r="M22" s="42">
        <f t="shared" ca="1" si="18"/>
        <v>3523778</v>
      </c>
      <c r="N22" s="39">
        <f t="shared" ca="1" si="18"/>
        <v>2278547</v>
      </c>
      <c r="O22" s="39">
        <f t="shared" ca="1" si="17"/>
        <v>53.344828514604849</v>
      </c>
      <c r="P22" s="39">
        <f t="shared" ca="1" si="13"/>
        <v>64.662047382099558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2346000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1925355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237400</v>
      </c>
      <c r="M26" s="50">
        <f t="shared" ca="1" si="22"/>
        <v>237400</v>
      </c>
      <c r="N26" s="50">
        <f t="shared" ca="1" si="22"/>
        <v>237400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2187395.0700000003</v>
      </c>
      <c r="M28" s="23">
        <f t="shared" si="23"/>
        <v>0</v>
      </c>
      <c r="N28" s="23">
        <f t="shared" ca="1" si="23"/>
        <v>580157.32999999996</v>
      </c>
      <c r="O28" s="22">
        <f t="shared" ref="O28:O30" ca="1" si="24">IF(L28&gt;0,N28*100/L28,0)</f>
        <v>26.522750186138065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2187395.0700000003</v>
      </c>
      <c r="M30" s="30">
        <f t="shared" si="27"/>
        <v>0</v>
      </c>
      <c r="N30" s="30">
        <f t="shared" ca="1" si="27"/>
        <v>580157.32999999996</v>
      </c>
      <c r="O30" s="29">
        <f t="shared" ca="1" si="24"/>
        <v>26.522750186138065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2187395.0700000003</v>
      </c>
      <c r="M32" s="39">
        <f t="shared" si="30"/>
        <v>0</v>
      </c>
      <c r="N32" s="39">
        <f t="shared" ca="1" si="30"/>
        <v>580157.32999999996</v>
      </c>
      <c r="O32" s="39">
        <f t="shared" ca="1" si="29"/>
        <v>26.522750186138065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2187395.0700000003</v>
      </c>
      <c r="M34" s="39">
        <f t="shared" si="32"/>
        <v>0</v>
      </c>
      <c r="N34" s="39">
        <f t="shared" ca="1" si="32"/>
        <v>580157.32999999996</v>
      </c>
      <c r="O34" s="39">
        <f t="shared" ca="1" si="29"/>
        <v>26.522750186138065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4508755</v>
      </c>
      <c r="M37" s="55">
        <f t="shared" ca="1" si="33"/>
        <v>3761178</v>
      </c>
      <c r="N37" s="55">
        <f t="shared" ca="1" si="33"/>
        <v>2515947</v>
      </c>
      <c r="O37" s="56">
        <f t="shared" ca="1" si="29"/>
        <v>55.801368670508822</v>
      </c>
      <c r="P37" s="56">
        <f t="shared" ca="1" si="25"/>
        <v>66.89252675624499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588100</v>
      </c>
      <c r="N41" s="79">
        <f t="shared" ca="1" si="34"/>
        <v>419277.15</v>
      </c>
      <c r="O41" s="78">
        <f t="shared" ref="O41:O43" ca="1" si="35">IF(L41&gt;0,N41*100/L41,0)</f>
        <v>53.472407856140798</v>
      </c>
      <c r="P41" s="78">
        <f t="shared" ref="P41:P43" ca="1" si="36">IF(M41&gt;0,N41*100/M41,0)</f>
        <v>71.293513007991834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588100</v>
      </c>
      <c r="N43" s="79">
        <f t="shared" ca="1" si="38"/>
        <v>419277.15</v>
      </c>
      <c r="O43" s="78">
        <f t="shared" ca="1" si="35"/>
        <v>53.472407856140798</v>
      </c>
      <c r="P43" s="78">
        <f t="shared" ca="1" si="36"/>
        <v>71.293513007991834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784100</v>
      </c>
      <c r="M45" s="50">
        <f ca="1">IFERROR(__xludf.DUMMYFUNCTION("IMPORTRANGE(""https://docs.google.com/spreadsheets/d/1Yj_ptqi66GCucihVvJfMjLAmec39IyEx_6qawtMGysU/edit?usp=sharing"",""สบก!Q36"")"),588100)</f>
        <v>588100</v>
      </c>
      <c r="N45" s="50">
        <f ca="1">IFERROR(__xludf.DUMMYFUNCTION("IMPORTRANGE(""https://docs.google.com/spreadsheets/d/1Yj_ptqi66GCucihVvJfMjLAmec39IyEx_6qawtMGysU/edit?usp=sharing"",""สบก!R36"")"),419277.15)</f>
        <v>419277.15</v>
      </c>
      <c r="O45" s="39">
        <f ca="1">IF(L45&gt;0,N45*100/L45,0)</f>
        <v>53.472407856140798</v>
      </c>
      <c r="P45" s="39">
        <f ca="1">IF(M45&gt;0,N45*100/M45,0)</f>
        <v>71.293513007991834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IFERROR(__xludf.DUMMYFUNCTION("IMPORTRANGE(""https://docs.google.com/spreadsheets/d/1Yj_ptqi66GCucihVvJfMjLAmec39IyEx_6qawtMGysU/edit?usp=sharing"",""สบก!M36"")"),784100)</f>
        <v>784100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750000</v>
      </c>
      <c r="M53" s="121">
        <f t="shared" ca="1" si="39"/>
        <v>591558</v>
      </c>
      <c r="N53" s="121">
        <f t="shared" ca="1" si="39"/>
        <v>525750</v>
      </c>
      <c r="O53" s="120">
        <f t="shared" ref="O53:O55" ca="1" si="40">IF(L53&gt;0,N53*100/L53,0)</f>
        <v>70.099999999999994</v>
      </c>
      <c r="P53" s="120">
        <f t="shared" ref="P53:P55" ca="1" si="41">IF(M53&gt;0,N53*100/M53,0)</f>
        <v>88.875477975109789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750000</v>
      </c>
      <c r="M55" s="121">
        <f t="shared" ca="1" si="43"/>
        <v>591558</v>
      </c>
      <c r="N55" s="121">
        <f t="shared" ca="1" si="43"/>
        <v>525750</v>
      </c>
      <c r="O55" s="120">
        <f t="shared" ca="1" si="40"/>
        <v>70.099999999999994</v>
      </c>
      <c r="P55" s="120">
        <f t="shared" ca="1" si="41"/>
        <v>88.875477975109789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750000</v>
      </c>
      <c r="M57" s="50">
        <f ca="1">IFERROR(__xludf.DUMMYFUNCTION("IMPORTRANGE(""https://docs.google.com/spreadsheets/d/1Yj_ptqi66GCucihVvJfMjLAmec39IyEx_6qawtMGysU/edit?usp=sharing"",""สบก!Z36"")"),591558)</f>
        <v>591558</v>
      </c>
      <c r="N57" s="50">
        <f ca="1">IFERROR(__xludf.DUMMYFUNCTION("IMPORTRANGE(""https://docs.google.com/spreadsheets/d/1Yj_ptqi66GCucihVvJfMjLAmec39IyEx_6qawtMGysU/edit?usp=sharing"",""สบก!AA36"")"),525750)</f>
        <v>525750</v>
      </c>
      <c r="O57" s="39">
        <f ca="1">IF(L57&gt;0,N57*100/L57,0)</f>
        <v>70.099999999999994</v>
      </c>
      <c r="P57" s="39">
        <f ca="1">IF(M57&gt;0,N57*100/M57,0)</f>
        <v>88.875477975109789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IFERROR(__xludf.DUMMYFUNCTION("IMPORTRANGE(""https://docs.google.com/spreadsheets/d/1Yj_ptqi66GCucihVvJfMjLAmec39IyEx_6qawtMGysU/edit?usp=sharing"",""สบก!V36"")"),750000)</f>
        <v>750000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829500</v>
      </c>
      <c r="M66" s="152">
        <f t="shared" ca="1" si="45"/>
        <v>708200</v>
      </c>
      <c r="N66" s="152">
        <f t="shared" ca="1" si="45"/>
        <v>299198.84999999998</v>
      </c>
      <c r="O66" s="151">
        <f t="shared" ref="O66:O68" ca="1" si="46">IF(L66&gt;0,N66*100/L66,0)</f>
        <v>36.069783001808311</v>
      </c>
      <c r="P66" s="151">
        <f t="shared" ref="P66:P68" ca="1" si="47">IF(M66&gt;0,N66*100/M66,0)</f>
        <v>42.247790172267713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829500</v>
      </c>
      <c r="M68" s="88">
        <f t="shared" ca="1" si="49"/>
        <v>708200</v>
      </c>
      <c r="N68" s="88">
        <f t="shared" ca="1" si="49"/>
        <v>299198.84999999998</v>
      </c>
      <c r="O68" s="156">
        <f t="shared" ca="1" si="46"/>
        <v>36.069783001808311</v>
      </c>
      <c r="P68" s="156">
        <f t="shared" ca="1" si="47"/>
        <v>42.247790172267713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IFERROR(__xludf.DUMMYFUNCTION("IMPORTRANGE(""https://docs.google.com/spreadsheets/d/1Yj_ptqi66GCucihVvJfMjLAmec39IyEx_6qawtMGysU/edit?usp=sharing"",""สบก!AI36"")"),708200)</f>
        <v>708200</v>
      </c>
      <c r="N70" s="168">
        <f ca="1">IFERROR(__xludf.DUMMYFUNCTION("IMPORTRANGE(""https://docs.google.com/spreadsheets/d/1Yj_ptqi66GCucihVvJfMjLAmec39IyEx_6qawtMGysU/edit?usp=sharing"",""สบก!AJ36"")"),299198.85)</f>
        <v>299198.84999999998</v>
      </c>
      <c r="O70" s="168">
        <f ca="1">IF(L70&gt;0,N70*100/L70,0)</f>
        <v>36.069783001808311</v>
      </c>
      <c r="P70" s="168">
        <f ca="1">IF(M70&gt;0,N70*100/M70,0)</f>
        <v>42.247790172267713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IFERROR(__xludf.DUMMYFUNCTION("IMPORTRANGE(""https://docs.google.com/spreadsheets/d/11923uPwbBZFjjGgGUA6NLw09EwE0CqkOc4q9oUmW1yo/edit?usp=sharing"",""อุทัยธานี!I28"")"),30)</f>
        <v>30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108180</v>
      </c>
      <c r="O94" s="151">
        <f t="shared" ref="O94:O96" ca="1" si="53">IF(L94&gt;0,N94*100/L94,0)</f>
        <v>50.433566433566433</v>
      </c>
      <c r="P94" s="151">
        <f t="shared" ref="P94:P96" ca="1" si="54">IF(M94&gt;0,N94*100/M94,0)</f>
        <v>50.433566433566433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108180</v>
      </c>
      <c r="O96" s="156">
        <f t="shared" ca="1" si="53"/>
        <v>50.433566433566433</v>
      </c>
      <c r="P96" s="156">
        <f t="shared" ca="1" si="54"/>
        <v>50.433566433566433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IFERROR(__xludf.DUMMYFUNCTION("IMPORTRANGE(""https://docs.google.com/spreadsheets/d/1Yj_ptqi66GCucihVvJfMjLAmec39IyEx_6qawtMGysU/edit?usp=sharing"",""สบก!AR36"")"),122100)</f>
        <v>122100</v>
      </c>
      <c r="N98" s="168">
        <f ca="1">IFERROR(__xludf.DUMMYFUNCTION("IMPORTRANGE(""https://docs.google.com/spreadsheets/d/1Yj_ptqi66GCucihVvJfMjLAmec39IyEx_6qawtMGysU/edit?usp=sharing"",""สบก!AS36"")"),15780)</f>
        <v>15780</v>
      </c>
      <c r="O98" s="168">
        <f ca="1">IF(L98&gt;0,N98*100/L98,0)</f>
        <v>12.923832923832924</v>
      </c>
      <c r="P98" s="168">
        <f ca="1">IF(M98&gt;0,N98*100/M98,0)</f>
        <v>12.923832923832924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IFERROR(__xludf.DUMMYFUNCTION("IMPORTRANGE(""https://docs.google.com/spreadsheets/d/11923uPwbBZFjjGgGUA6NLw09EwE0CqkOc4q9oUmW1yo/edit?usp=sharing"",""อุทัยธานี!J50"")"),0)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271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IFERROR(__xludf.DUMMYFUNCTION("IMPORTRANGE(""https://docs.google.com/spreadsheets/d/11923uPwbBZFjjGgGUA6NLw09EwE0CqkOc4q9oUmW1yo/edit?usp=sharing"",""อุทัยธานี!J65"")"),0)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IFERROR(__xludf.DUMMYFUNCTION("IMPORTRANGE(""https://docs.google.com/spreadsheets/d/11923uPwbBZFjjGgGUA6NLw09EwE0CqkOc4q9oUmW1yo/edit?usp=sharing"",""อุทัยธานี!I68"")"),0)</f>
        <v>0</v>
      </c>
      <c r="J138" s="266">
        <f ca="1">IFERROR(__xludf.DUMMYFUNCTION("IMPORTRANGE(""https://docs.google.com/spreadsheets/d/11923uPwbBZFjjGgGUA6NLw09EwE0CqkOc4q9oUmW1yo/edit?usp=sharing"",""อุทัยธานี!J68"")"),0)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55625</v>
      </c>
      <c r="N140" s="152">
        <f t="shared" ca="1" si="64"/>
        <v>47290</v>
      </c>
      <c r="O140" s="151">
        <f t="shared" ref="O140:O142" ca="1" si="65">IF(L140&gt;0,N140*100/L140,0)</f>
        <v>56.634730538922156</v>
      </c>
      <c r="P140" s="151">
        <f t="shared" ref="P140:P142" ca="1" si="66">IF(M140&gt;0,N140*100/M140,0)</f>
        <v>85.015730337078651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83500</v>
      </c>
      <c r="M142" s="88">
        <f t="shared" ca="1" si="68"/>
        <v>55625</v>
      </c>
      <c r="N142" s="88">
        <f t="shared" ca="1" si="68"/>
        <v>47290</v>
      </c>
      <c r="O142" s="156">
        <f t="shared" ca="1" si="65"/>
        <v>56.634730538922156</v>
      </c>
      <c r="P142" s="156">
        <f t="shared" ca="1" si="66"/>
        <v>85.015730337078651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83500</v>
      </c>
      <c r="M144" s="167">
        <f ca="1">IFERROR(__xludf.DUMMYFUNCTION("IMPORTRANGE(""https://docs.google.com/spreadsheets/d/1Yj_ptqi66GCucihVvJfMjLAmec39IyEx_6qawtMGysU/edit?usp=sharing"",""สบก!BJ36"")"),55625)</f>
        <v>55625</v>
      </c>
      <c r="N144" s="168">
        <f ca="1">IFERROR(__xludf.DUMMYFUNCTION("IMPORTRANGE(""https://docs.google.com/spreadsheets/d/1Yj_ptqi66GCucihVvJfMjLAmec39IyEx_6qawtMGysU/edit?usp=sharing"",""สบก!BK36"")"),47290)</f>
        <v>47290</v>
      </c>
      <c r="O144" s="168">
        <f ca="1">IF(L144&gt;0,N144*100/L144,0)</f>
        <v>56.634730538922156</v>
      </c>
      <c r="P144" s="168">
        <f ca="1">IF(M144&gt;0,N144*100/M144,0)</f>
        <v>85.015730337078651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IFERROR(__xludf.DUMMYFUNCTION("IMPORTRANGE(""https://docs.google.com/spreadsheets/d/1Yj_ptqi66GCucihVvJfMjLAmec39IyEx_6qawtMGysU/edit?usp=sharing"",""สบก!BG36"")"),83500)</f>
        <v>83500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IFERROR(__xludf.DUMMYFUNCTION("IMPORTRANGE(""https://docs.google.com/spreadsheets/d/11923uPwbBZFjjGgGUA6NLw09EwE0CqkOc4q9oUmW1yo/edit?usp=sharing"",""อุทัยธานี!I74"")"),4)</f>
        <v>4</v>
      </c>
      <c r="J149" s="274">
        <f ca="1">IFERROR(__xludf.DUMMYFUNCTION("IMPORTRANGE(""https://docs.google.com/spreadsheets/d/11923uPwbBZFjjGgGUA6NLw09EwE0CqkOc4q9oUmW1yo/edit?usp=sharing"",""อุทัยธานี!J74"")"),2)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IFERROR(__xludf.DUMMYFUNCTION("IMPORTRANGE(""https://docs.google.com/spreadsheets/d/11923uPwbBZFjjGgGUA6NLw09EwE0CqkOc4q9oUmW1yo/edit?usp=sharing"",""อุทัยธานี!I89"")"),3)</f>
        <v>3</v>
      </c>
      <c r="J164" s="283">
        <f ca="1">IFERROR(__xludf.DUMMYFUNCTION("IMPORTRANGE(""https://docs.google.com/spreadsheets/d/11923uPwbBZFjjGgGUA6NLw09EwE0CqkOc4q9oUmW1yo/edit?usp=sharing"",""อุทัยธานี!J89"")"),3)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IFERROR(__xludf.DUMMYFUNCTION("IMPORTRANGE(""https://docs.google.com/spreadsheets/d/11923uPwbBZFjjGgGUA6NLw09EwE0CqkOc4q9oUmW1yo/edit?usp=sharing"",""อุทัยธานี!I101"")"),0)</f>
        <v>0</v>
      </c>
      <c r="J176" s="283">
        <f ca="1">IFERROR(__xludf.DUMMYFUNCTION("IMPORTRANGE(""https://docs.google.com/spreadsheets/d/11923uPwbBZFjjGgGUA6NLw09EwE0CqkOc4q9oUmW1yo/edit?usp=sharing"",""อุทัยธานี!J101"")"),0)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IFERROR(__xludf.DUMMYFUNCTION("IMPORTRANGE(""https://docs.google.com/spreadsheets/d/11923uPwbBZFjjGgGUA6NLw09EwE0CqkOc4q9oUmW1yo/edit?usp=sharing"",""อุทัยธานี!J113"")"),0)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IFERROR(__xludf.DUMMYFUNCTION("IMPORTRANGE(""https://docs.google.com/spreadsheets/d/11923uPwbBZFjjGgGUA6NLw09EwE0CqkOc4q9oUmW1yo/edit?usp=sharing"",""อุทัยธานี!I114"")"),100000)</f>
        <v>100000</v>
      </c>
      <c r="J189" s="283">
        <f ca="1">IFERROR(__xludf.DUMMYFUNCTION("IMPORTRANGE(""https://docs.google.com/spreadsheets/d/11923uPwbBZFjjGgGUA6NLw09EwE0CqkOc4q9oUmW1yo/edit?usp=sharing"",""อุทัยธานี!J114"")"),0)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IFERROR(__xludf.DUMMYFUNCTION("IMPORTRANGE(""https://docs.google.com/spreadsheets/d/11923uPwbBZFjjGgGUA6NLw09EwE0CqkOc4q9oUmW1yo/edit?usp=sharing"",""อุทัยธานี!J128"")"),0)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IFERROR(__xludf.DUMMYFUNCTION("IMPORTRANGE(""https://docs.google.com/spreadsheets/d/11923uPwbBZFjjGgGUA6NLw09EwE0CqkOc4q9oUmW1yo/edit?usp=sharing"",""อุทัยธานี!I129"")"),0)</f>
        <v>0</v>
      </c>
      <c r="J204" s="283">
        <f ca="1">IFERROR(__xludf.DUMMYFUNCTION("IMPORTRANGE(""https://docs.google.com/spreadsheets/d/11923uPwbBZFjjGgGUA6NLw09EwE0CqkOc4q9oUmW1yo/edit?usp=sharing"",""อุทัยธานี!J129"")"),0)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IFERROR(__xludf.DUMMYFUNCTION("IMPORTRANGE(""https://docs.google.com/spreadsheets/d/11923uPwbBZFjjGgGUA6NLw09EwE0CqkOc4q9oUmW1yo/edit?usp=sharing"",""อุทัยธานี!J143"")"),0)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IFERROR(__xludf.DUMMYFUNCTION("IMPORTRANGE(""https://docs.google.com/spreadsheets/d/11923uPwbBZFjjGgGUA6NLw09EwE0CqkOc4q9oUmW1yo/edit?usp=sharing"",""อุทัยธานี!I144"")"),15)</f>
        <v>15</v>
      </c>
      <c r="J219" s="266">
        <f ca="1">IFERROR(__xludf.DUMMYFUNCTION("IMPORTRANGE(""https://docs.google.com/spreadsheets/d/11923uPwbBZFjjGgGUA6NLw09EwE0CqkOc4q9oUmW1yo/edit?usp=sharing"",""อุทัยธานี!J144"")"),15)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IFERROR(__xludf.DUMMYFUNCTION("IMPORTRANGE(""https://docs.google.com/spreadsheets/d/11923uPwbBZFjjGgGUA6NLw09EwE0CqkOc4q9oUmW1yo/edit?usp=sharing"",""อุทัยธานี!I149"")"),15)</f>
        <v>15</v>
      </c>
      <c r="J229" s="266">
        <f ca="1">IFERROR(__xludf.DUMMYFUNCTION("IMPORTRANGE(""https://docs.google.com/spreadsheets/d/11923uPwbBZFjjGgGUA6NLw09EwE0CqkOc4q9oUmW1yo/edit?usp=sharing"",""อุทัยธานี!J149"")"),15)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IFERROR(__xludf.DUMMYFUNCTION("IMPORTRANGE(""https://docs.google.com/spreadsheets/d/11923uPwbBZFjjGgGUA6NLw09EwE0CqkOc4q9oUmW1yo/edit?usp=sharing"",""อุทัยธานี!I158"")"),0)</f>
        <v>0</v>
      </c>
      <c r="J238" s="266">
        <f ca="1">IFERROR(__xludf.DUMMYFUNCTION("IMPORTRANGE(""https://docs.google.com/spreadsheets/d/11923uPwbBZFjjGgGUA6NLw09EwE0CqkOc4q9oUmW1yo/edit?usp=sharing"",""อุทัยธานี!J158"")"),0)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IFERROR(__xludf.DUMMYFUNCTION("IMPORTRANGE(""https://docs.google.com/spreadsheets/d/11923uPwbBZFjjGgGUA6NLw09EwE0CqkOc4q9oUmW1yo/edit?usp=sharing"",""อุทัยธานี!J166"")"),0)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IFERROR(__xludf.DUMMYFUNCTION("IMPORTRANGE(""https://docs.google.com/spreadsheets/d/11923uPwbBZFjjGgGUA6NLw09EwE0CqkOc4q9oUmW1yo/edit?usp=sharing"",""อุทัยธานี!I169"")"),20)</f>
        <v>20</v>
      </c>
      <c r="J249" s="315">
        <f ca="1">IFERROR(__xludf.DUMMYFUNCTION("IMPORTRANGE(""https://docs.google.com/spreadsheets/d/11923uPwbBZFjjGgGUA6NLw09EwE0CqkOc4q9oUmW1yo/edit?usp=sharing"",""อุทัยธานี!J169"")"),20)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141000</v>
      </c>
      <c r="N250" s="152">
        <f t="shared" ca="1" si="77"/>
        <v>90556</v>
      </c>
      <c r="O250" s="151">
        <f t="shared" ref="O250:O252" ca="1" si="78">IF(L250&gt;0,N250*100/L250,0)</f>
        <v>44.521140609636184</v>
      </c>
      <c r="P250" s="151">
        <f t="shared" ref="P250:P252" ca="1" si="79">IF(M250&gt;0,N250*100/M250,0)</f>
        <v>64.224113475177305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141000</v>
      </c>
      <c r="N252" s="88">
        <f t="shared" ca="1" si="81"/>
        <v>90556</v>
      </c>
      <c r="O252" s="156">
        <f t="shared" ca="1" si="78"/>
        <v>44.521140609636184</v>
      </c>
      <c r="P252" s="156">
        <f t="shared" ca="1" si="79"/>
        <v>64.224113475177305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IFERROR(__xludf.DUMMYFUNCTION("IMPORTRANGE(""https://docs.google.com/spreadsheets/d/1Yj_ptqi66GCucihVvJfMjLAmec39IyEx_6qawtMGysU/edit?usp=sharing"",""สบก!CB36"")"),141000)</f>
        <v>141000</v>
      </c>
      <c r="N254" s="168">
        <f ca="1">IFERROR(__xludf.DUMMYFUNCTION("IMPORTRANGE(""https://docs.google.com/spreadsheets/d/1Yj_ptqi66GCucihVvJfMjLAmec39IyEx_6qawtMGysU/edit?usp=sharing"",""สบก!CC36"")"),90556)</f>
        <v>90556</v>
      </c>
      <c r="O254" s="168">
        <f ca="1">IF(L254&gt;0,N254*100/L254,0)</f>
        <v>44.521140609636184</v>
      </c>
      <c r="P254" s="168">
        <f ca="1">IF(M254&gt;0,N254*100/M254,0)</f>
        <v>64.224113475177305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IFERROR(__xludf.DUMMYFUNCTION("IMPORTRANGE(""https://docs.google.com/spreadsheets/d/11923uPwbBZFjjGgGUA6NLw09EwE0CqkOc4q9oUmW1yo/edit?usp=sharing"",""อุทัยธานี!J184"")"),0)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IFERROR(__xludf.DUMMYFUNCTION("IMPORTRANGE(""https://docs.google.com/spreadsheets/d/11923uPwbBZFjjGgGUA6NLw09EwE0CqkOc4q9oUmW1yo/edit?usp=sharing"",""อุทัยธานี!I185"")"),20)</f>
        <v>20</v>
      </c>
      <c r="J270" s="315">
        <f ca="1">IFERROR(__xludf.DUMMYFUNCTION("IMPORTRANGE(""https://docs.google.com/spreadsheets/d/11923uPwbBZFjjGgGUA6NLw09EwE0CqkOc4q9oUmW1yo/edit?usp=sharing"",""อุทัยธานี!J185"")"),20)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121579</v>
      </c>
      <c r="O271" s="151">
        <f t="shared" ref="O271:O273" ca="1" si="84">IF(L271&gt;0,N271*100/L271,0)</f>
        <v>66.219498910675384</v>
      </c>
      <c r="P271" s="151">
        <f t="shared" ref="P271:P273" ca="1" si="85">IF(M271&gt;0,N271*100/M271,0)</f>
        <v>75.234529702970292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121579</v>
      </c>
      <c r="O273" s="156">
        <f t="shared" ca="1" si="84"/>
        <v>66.219498910675384</v>
      </c>
      <c r="P273" s="156">
        <f t="shared" ca="1" si="85"/>
        <v>75.234529702970292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IFERROR(__xludf.DUMMYFUNCTION("IMPORTRANGE(""https://docs.google.com/spreadsheets/d/1Yj_ptqi66GCucihVvJfMjLAmec39IyEx_6qawtMGysU/edit?usp=sharing"",""สบก!CK36"")"),161600)</f>
        <v>161600</v>
      </c>
      <c r="N275" s="168">
        <f ca="1">IFERROR(__xludf.DUMMYFUNCTION("IMPORTRANGE(""https://docs.google.com/spreadsheets/d/1Yj_ptqi66GCucihVvJfMjLAmec39IyEx_6qawtMGysU/edit?usp=sharing"",""สบก!CL36"")"),121579)</f>
        <v>121579</v>
      </c>
      <c r="O275" s="168">
        <f ca="1">IF(L275&gt;0,N275*100/L275,0)</f>
        <v>66.219498910675384</v>
      </c>
      <c r="P275" s="168">
        <f ca="1">IF(M275&gt;0,N275*100/M275,0)</f>
        <v>75.234529702970292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IFERROR(__xludf.DUMMYFUNCTION("IMPORTRANGE(""https://docs.google.com/spreadsheets/d/11923uPwbBZFjjGgGUA6NLw09EwE0CqkOc4q9oUmW1yo/edit?usp=sharing"",""อุทัยธานี!I199"")"),40)</f>
        <v>40</v>
      </c>
      <c r="J289" s="315">
        <f ca="1">IFERROR(__xludf.DUMMYFUNCTION("IMPORTRANGE(""https://docs.google.com/spreadsheets/d/11923uPwbBZFjjGgGUA6NLw09EwE0CqkOc4q9oUmW1yo/edit?usp=sharing"",""อุทัยธานี!J199"")"),40)</f>
        <v>40</v>
      </c>
      <c r="K289" s="316">
        <f ca="1">IF(I289&gt;0,J289*100/I289,0)</f>
        <v>100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120760</v>
      </c>
      <c r="M290" s="152">
        <f t="shared" ca="1" si="88"/>
        <v>120760</v>
      </c>
      <c r="N290" s="152">
        <f t="shared" ca="1" si="88"/>
        <v>38100</v>
      </c>
      <c r="O290" s="151">
        <f t="shared" ref="O290:O292" ca="1" si="89">IF(L290&gt;0,N290*100/L290,0)</f>
        <v>31.550182179529646</v>
      </c>
      <c r="P290" s="151">
        <f t="shared" ref="P290:P292" ca="1" si="90">IF(M290&gt;0,N290*100/M290,0)</f>
        <v>31.550182179529646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120760</v>
      </c>
      <c r="M292" s="88">
        <f t="shared" ca="1" si="92"/>
        <v>120760</v>
      </c>
      <c r="N292" s="88">
        <f t="shared" ca="1" si="92"/>
        <v>38100</v>
      </c>
      <c r="O292" s="156">
        <f t="shared" ca="1" si="89"/>
        <v>31.550182179529646</v>
      </c>
      <c r="P292" s="156">
        <f t="shared" ca="1" si="90"/>
        <v>31.550182179529646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IFERROR(__xludf.DUMMYFUNCTION("IMPORTRANGE(""https://docs.google.com/spreadsheets/d/1Yj_ptqi66GCucihVvJfMjLAmec39IyEx_6qawtMGysU/edit?usp=sharing"",""สบก!CU36"")"),38100)</f>
        <v>38100</v>
      </c>
      <c r="O294" s="168">
        <f ca="1">IF(L294&gt;0,N294*100/L294,0)</f>
        <v>31.550182179529646</v>
      </c>
      <c r="P294" s="168">
        <f ca="1">IF(M294&gt;0,N294*100/M294,0)</f>
        <v>31.550182179529646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3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IFERROR(__xludf.DUMMYFUNCTION("IMPORTRANGE(""https://docs.google.com/spreadsheets/d/11923uPwbBZFjjGgGUA6NLw09EwE0CqkOc4q9oUmW1yo/edit?usp=sharing"",""อุทัยธานี!J213"")"),0)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IFERROR(__xludf.DUMMYFUNCTION("IMPORTRANGE(""https://docs.google.com/spreadsheets/d/11923uPwbBZFjjGgGUA6NLw09EwE0CqkOc4q9oUmW1yo/edit?usp=sharing"",""อุทัยธานี!I214"")"),1)</f>
        <v>1</v>
      </c>
      <c r="J309" s="332">
        <f ca="1">IFERROR(__xludf.DUMMYFUNCTION("IMPORTRANGE(""https://docs.google.com/spreadsheets/d/11923uPwbBZFjjGgGUA6NLw09EwE0CqkOc4q9oUmW1yo/edit?usp=sharing"",""อุทัยธานี!J214"")"),1)</f>
        <v>1</v>
      </c>
      <c r="K309" s="333">
        <f ca="1">IF(I309&gt;0,J309*100/I309,0)</f>
        <v>100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262600</v>
      </c>
      <c r="M310" s="152">
        <f t="shared" ca="1" si="93"/>
        <v>317000</v>
      </c>
      <c r="N310" s="152">
        <f t="shared" ca="1" si="93"/>
        <v>228490</v>
      </c>
      <c r="O310" s="151">
        <f t="shared" ref="O310:O312" ca="1" si="94">IF(L310&gt;0,N310*100/L310,0)</f>
        <v>87.010662604722015</v>
      </c>
      <c r="P310" s="151">
        <f t="shared" ref="P310:P312" ca="1" si="95">IF(M310&gt;0,N310*100/M310,0)</f>
        <v>72.078864353312298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262600</v>
      </c>
      <c r="M312" s="88">
        <f t="shared" ca="1" si="97"/>
        <v>317000</v>
      </c>
      <c r="N312" s="88">
        <f t="shared" ca="1" si="97"/>
        <v>228490</v>
      </c>
      <c r="O312" s="156">
        <f t="shared" ca="1" si="94"/>
        <v>87.010662604722015</v>
      </c>
      <c r="P312" s="156">
        <f t="shared" ca="1" si="95"/>
        <v>72.078864353312298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IFERROR(__xludf.DUMMYFUNCTION("IMPORTRANGE(""https://docs.google.com/spreadsheets/d/1Yj_ptqi66GCucihVvJfMjLAmec39IyEx_6qawtMGysU/edit?usp=sharing"",""สบก!DC36"")"),317000)</f>
        <v>317000</v>
      </c>
      <c r="N314" s="168">
        <f ca="1">IFERROR(__xludf.DUMMYFUNCTION("IMPORTRANGE(""https://docs.google.com/spreadsheets/d/1Yj_ptqi66GCucihVvJfMjLAmec39IyEx_6qawtMGysU/edit?usp=sharing"",""สบก!DD36"")"),228490)</f>
        <v>228490</v>
      </c>
      <c r="O314" s="168">
        <f ca="1">IF(L314&gt;0,N314*100/L314,0)</f>
        <v>87.010662604722015</v>
      </c>
      <c r="P314" s="168">
        <f ca="1">IF(M314&gt;0,N314*100/M314,0)</f>
        <v>72.078864353312298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3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IFERROR(__xludf.DUMMYFUNCTION("IMPORTRANGE(""https://docs.google.com/spreadsheets/d/11923uPwbBZFjjGgGUA6NLw09EwE0CqkOc4q9oUmW1yo/edit?usp=sharing"",""อุทัยธานี!J226"")"),0)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IFERROR(__xludf.DUMMYFUNCTION("IMPORTRANGE(""https://docs.google.com/spreadsheets/d/11923uPwbBZFjjGgGUA6NLw09EwE0CqkOc4q9oUmW1yo/edit?usp=sharing"",""อุทัยธานี!I228"")"),215)</f>
        <v>215</v>
      </c>
      <c r="J328" s="338">
        <f ca="1">IFERROR(__xludf.DUMMYFUNCTION("IMPORTRANGE(""https://docs.google.com/spreadsheets/d/11923uPwbBZFjjGgGUA6NLw09EwE0CqkOc4q9oUmW1yo/edit?usp=sharing"",""อุทัยธานี!J228"")"),99)</f>
        <v>99</v>
      </c>
      <c r="K328" s="316">
        <f ca="1">IF(I328&gt;0,J328*100/I328,0)</f>
        <v>46.046511627906973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1055670</v>
      </c>
      <c r="M329" s="152">
        <f t="shared" ca="1" si="98"/>
        <v>841710</v>
      </c>
      <c r="N329" s="152">
        <f t="shared" ca="1" si="98"/>
        <v>617021</v>
      </c>
      <c r="O329" s="151">
        <f t="shared" ref="O329:O331" ca="1" si="99">IF(L329&gt;0,N329*100/L329,0)</f>
        <v>58.448284028152734</v>
      </c>
      <c r="P329" s="151">
        <f t="shared" ref="P329:P331" ca="1" si="100">IF(M329&gt;0,N329*100/M329,0)</f>
        <v>73.305651590215163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1055670</v>
      </c>
      <c r="M331" s="88">
        <f t="shared" ca="1" si="102"/>
        <v>841710</v>
      </c>
      <c r="N331" s="88">
        <f t="shared" ca="1" si="102"/>
        <v>617021</v>
      </c>
      <c r="O331" s="156">
        <f t="shared" ca="1" si="99"/>
        <v>58.448284028152734</v>
      </c>
      <c r="P331" s="156">
        <f t="shared" ca="1" si="100"/>
        <v>73.305651590215163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IFERROR(__xludf.DUMMYFUNCTION("IMPORTRANGE(""https://docs.google.com/spreadsheets/d/1Yj_ptqi66GCucihVvJfMjLAmec39IyEx_6qawtMGysU/edit?usp=sharing"",""สบก!DL36"")"),696710)</f>
        <v>696710</v>
      </c>
      <c r="N333" s="168">
        <f ca="1">IFERROR(__xludf.DUMMYFUNCTION("IMPORTRANGE(""https://docs.google.com/spreadsheets/d/1Yj_ptqi66GCucihVvJfMjLAmec39IyEx_6qawtMGysU/edit?usp=sharing"",""สบก!DM36"")"),472021)</f>
        <v>472021</v>
      </c>
      <c r="O333" s="168">
        <f ca="1">IF(L333&gt;0,N333*100/L333,0)</f>
        <v>51.832277334270373</v>
      </c>
      <c r="P333" s="168">
        <f ca="1">IF(M333&gt;0,N333*100/M333,0)</f>
        <v>67.749996411706448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IFERROR(__xludf.DUMMYFUNCTION("IMPORTRANGE(""https://docs.google.com/spreadsheets/d/1Yj_ptqi66GCucihVvJfMjLAmec39IyEx_6qawtMGysU/edit?usp=sharing"",""สบก!DJ36"")"),145000)</f>
        <v>145000</v>
      </c>
      <c r="M337" s="50">
        <f ca="1">L337</f>
        <v>145000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IFERROR(__xludf.DUMMYFUNCTION("IMPORTRANGE(""https://docs.google.com/spreadsheets/d/11923uPwbBZFjjGgGUA6NLw09EwE0CqkOc4q9oUmW1yo/edit?usp=sharing"",""อุทัยธานี!J234"")"),58)</f>
        <v>58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IFERROR(__xludf.DUMMYFUNCTION("IMPORTRANGE(""https://docs.google.com/spreadsheets/d/11923uPwbBZFjjGgGUA6NLw09EwE0CqkOc4q9oUmW1yo/edit?usp=sharing"",""อุทัยธานี!J235"")"),581.83)</f>
        <v>581.83000000000004</v>
      </c>
      <c r="K340" s="341">
        <f t="shared" ca="1" si="103"/>
        <v>29.091500000000003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IFERROR(__xludf.DUMMYFUNCTION("IMPORTRANGE(""https://docs.google.com/spreadsheets/d/11923uPwbBZFjjGgGUA6NLw09EwE0CqkOc4q9oUmW1yo/edit?usp=sharing"",""อุทัยธานี!J236"")"),102)</f>
        <v>102</v>
      </c>
      <c r="K341" s="341">
        <f t="shared" ca="1" si="103"/>
        <v>47.441860465116278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IFERROR(__xludf.DUMMYFUNCTION("IMPORTRANGE(""https://docs.google.com/spreadsheets/d/11923uPwbBZFjjGgGUA6NLw09EwE0CqkOc4q9oUmW1yo/edit?usp=sharing"",""อุทัยธานี!J237"")"),1633.98)</f>
        <v>1633.98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1">
        <f t="shared" ca="1" si="103"/>
        <v>13.488372093023257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IFERROR(__xludf.DUMMYFUNCTION("IMPORTRANGE(""https://docs.google.com/spreadsheets/d/11923uPwbBZFjjGgGUA6NLw09EwE0CqkOc4q9oUmW1yo/edit?usp=sharing"",""อุทัยธานี!J240"")"),99)</f>
        <v>99</v>
      </c>
      <c r="K345" s="341">
        <f t="shared" ca="1" si="103"/>
        <v>46.046511627906973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IFERROR(__xludf.DUMMYFUNCTION("IMPORTRANGE(""https://docs.google.com/spreadsheets/d/11923uPwbBZFjjGgGUA6NLw09EwE0CqkOc4q9oUmW1yo/edit?usp=sharing"",""อุทัยธานี!J241"")"),1626.66999999999)</f>
        <v>1626.6699999999901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IFERROR(__xludf.DUMMYFUNCTION("IMPORTRANGE(""https://docs.google.com/spreadsheets/d/11923uPwbBZFjjGgGUA6NLw09EwE0CqkOc4q9oUmW1yo/edit?usp=sharing"",""อุทัยธานี!L242"")"),2187395.07)</f>
        <v>2187395.0699999998</v>
      </c>
      <c r="M347" s="357"/>
      <c r="N347" s="357">
        <f ca="1">IFERROR(__xludf.DUMMYFUNCTION("IMPORTRANGE(""https://docs.google.com/spreadsheets/d/11923uPwbBZFjjGgGUA6NLw09EwE0CqkOc4q9oUmW1yo/edit?usp=sharing"",""อุทัยธานี!M242"")"),580157.33)</f>
        <v>580157.32999999996</v>
      </c>
      <c r="O347" s="357">
        <f ca="1">+IF(L347&gt;0,N347*100/L347,0)</f>
        <v>26.522750186138069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IFERROR(__xludf.DUMMYFUNCTION("IMPORTRANGE(""https://docs.google.com/spreadsheets/d/11923uPwbBZFjjGgGUA6NLw09EwE0CqkOc4q9oUmW1yo/edit?usp=sharing"",""อุทัยธานี!J244"")"),20)</f>
        <v>20</v>
      </c>
      <c r="K349" s="371">
        <f t="shared" ref="K349:K350" ca="1" si="104">IF(I349&gt;0,J349*100/I349,0)</f>
        <v>28.571428571428573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IFERROR(__xludf.DUMMYFUNCTION("IMPORTRANGE(""https://docs.google.com/spreadsheets/d/11923uPwbBZFjjGgGUA6NLw09EwE0CqkOc4q9oUmW1yo/edit?usp=sharing"",""อุทัยธานี!M244"")"),129500)</f>
        <v>129500</v>
      </c>
      <c r="O349" s="372">
        <f ca="1">+IF(L349&gt;0,N349*100/L349,0)</f>
        <v>42.716717245019133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IFERROR(__xludf.DUMMYFUNCTION("IMPORTRANGE(""https://docs.google.com/spreadsheets/d/11923uPwbBZFjjGgGUA6NLw09EwE0CqkOc4q9oUmW1yo/edit?usp=sharing"",""อุทัยธานี!M247"")"),129500)</f>
        <v>129500</v>
      </c>
      <c r="O352" s="165">
        <f t="shared" ca="1" si="105"/>
        <v>42.716717245019133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IFERROR(__xludf.DUMMYFUNCTION("IMPORTRANGE(""https://docs.google.com/spreadsheets/d/11923uPwbBZFjjGgGUA6NLw09EwE0CqkOc4q9oUmW1yo/edit?usp=sharing"",""อุทัยธานี!M249"")"),129500)</f>
        <v>129500</v>
      </c>
      <c r="O354" s="168">
        <f t="shared" ca="1" si="105"/>
        <v>42.716717245019133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IFERROR(__xludf.DUMMYFUNCTION("IMPORTRANGE(""https://docs.google.com/spreadsheets/d/11923uPwbBZFjjGgGUA6NLw09EwE0CqkOc4q9oUmW1yo/edit?usp=sharing"",""อุทัยธานี!M252"")"),64320)</f>
        <v>64320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IFERROR(__xludf.DUMMYFUNCTION("IMPORTRANGE(""https://docs.google.com/spreadsheets/d/11923uPwbBZFjjGgGUA6NLw09EwE0CqkOc4q9oUmW1yo/edit?usp=sharing"",""อุทัยธานี!M253"")"),14780)</f>
        <v>14780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IFERROR(__xludf.DUMMYFUNCTION("IMPORTRANGE(""https://docs.google.com/spreadsheets/d/11923uPwbBZFjjGgGUA6NLw09EwE0CqkOc4q9oUmW1yo/edit?usp=sharing"",""อุทัยธานี!M275"")"),194251)</f>
        <v>194251</v>
      </c>
      <c r="O380" s="372">
        <f ca="1">+IF(L380&gt;0,N380*100/L380,0)</f>
        <v>18.886458211799479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IFERROR(__xludf.DUMMYFUNCTION("IMPORTRANGE(""https://docs.google.com/spreadsheets/d/11923uPwbBZFjjGgGUA6NLw09EwE0CqkOc4q9oUmW1yo/edit?usp=sharing"",""อุทัยธานี!M278"")"),194251)</f>
        <v>194251</v>
      </c>
      <c r="O383" s="165">
        <f t="shared" ca="1" si="109"/>
        <v>18.886458211799479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IFERROR(__xludf.DUMMYFUNCTION("IMPORTRANGE(""https://docs.google.com/spreadsheets/d/11923uPwbBZFjjGgGUA6NLw09EwE0CqkOc4q9oUmW1yo/edit?usp=sharing"",""อุทัยธานี!M280"")"),194251)</f>
        <v>194251</v>
      </c>
      <c r="O385" s="168">
        <f t="shared" ca="1" si="109"/>
        <v>18.886458211799479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IFERROR(__xludf.DUMMYFUNCTION("IMPORTRANGE(""https://docs.google.com/spreadsheets/d/11923uPwbBZFjjGgGUA6NLw09EwE0CqkOc4q9oUmW1yo/edit?usp=sharing"",""อุทัยธานี!M281"")"),125940)</f>
        <v>125940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IFERROR(__xludf.DUMMYFUNCTION("IMPORTRANGE(""https://docs.google.com/spreadsheets/d/11923uPwbBZFjjGgGUA6NLw09EwE0CqkOc4q9oUmW1yo/edit?usp=sharing"",""อุทัยธานี!M283"")"),52491)</f>
        <v>52491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IFERROR(__xludf.DUMMYFUNCTION("IMPORTRANGE(""https://docs.google.com/spreadsheets/d/11923uPwbBZFjjGgGUA6NLw09EwE0CqkOc4q9oUmW1yo/edit?usp=sharing"",""อุทัยธานี!M284"")"),15820)</f>
        <v>15820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IFERROR(__xludf.DUMMYFUNCTION("IMPORTRANGE(""https://docs.google.com/spreadsheets/d/11923uPwbBZFjjGgGUA6NLw09EwE0CqkOc4q9oUmW1yo/edit?usp=sharing"",""อุทัยธานี!J296"")"),0)</f>
        <v>0</v>
      </c>
      <c r="K401" s="371">
        <f t="shared" ref="K401:K402" ca="1" si="111">IF(I401&gt;0,J401*100/I401,0)</f>
        <v>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IFERROR(__xludf.DUMMYFUNCTION("IMPORTRANGE(""https://docs.google.com/spreadsheets/d/11923uPwbBZFjjGgGUA6NLw09EwE0CqkOc4q9oUmW1yo/edit?usp=sharing"",""อุทัยธานี!M296"")"),70110)</f>
        <v>70110</v>
      </c>
      <c r="O401" s="372">
        <f ca="1">+IF(L401&gt;0,N401*100/L401,0)</f>
        <v>39.409780775716698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IFERROR(__xludf.DUMMYFUNCTION("IMPORTRANGE(""https://docs.google.com/spreadsheets/d/11923uPwbBZFjjGgGUA6NLw09EwE0CqkOc4q9oUmW1yo/edit?usp=sharing"",""อุทัยธานี!J297"")"),0)</f>
        <v>0</v>
      </c>
      <c r="K402" s="371">
        <f t="shared" ca="1" si="111"/>
        <v>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IFERROR(__xludf.DUMMYFUNCTION("IMPORTRANGE(""https://docs.google.com/spreadsheets/d/11923uPwbBZFjjGgGUA6NLw09EwE0CqkOc4q9oUmW1yo/edit?usp=sharing"",""อุทัยธานี!M299"")"),70110)</f>
        <v>70110</v>
      </c>
      <c r="O404" s="168">
        <f t="shared" ca="1" si="112"/>
        <v>39.409780775716698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IFERROR(__xludf.DUMMYFUNCTION("IMPORTRANGE(""https://docs.google.com/spreadsheets/d/11923uPwbBZFjjGgGUA6NLw09EwE0CqkOc4q9oUmW1yo/edit?usp=sharing"",""อุทัยธานี!M301"")"),70110)</f>
        <v>70110</v>
      </c>
      <c r="O406" s="168">
        <f t="shared" ca="1" si="112"/>
        <v>39.409780775716698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IFERROR(__xludf.DUMMYFUNCTION("IMPORTRANGE(""https://docs.google.com/spreadsheets/d/11923uPwbBZFjjGgGUA6NLw09EwE0CqkOc4q9oUmW1yo/edit?usp=sharing"",""อุทัยธานี!M302"")"),57050)</f>
        <v>57050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IFERROR(__xludf.DUMMYFUNCTION("IMPORTRANGE(""https://docs.google.com/spreadsheets/d/11923uPwbBZFjjGgGUA6NLw09EwE0CqkOc4q9oUmW1yo/edit?usp=sharing"",""อุทัยธานี!M305"")"),13060)</f>
        <v>13060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IFERROR(__xludf.DUMMYFUNCTION("IMPORTRANGE(""https://docs.google.com/spreadsheets/d/11923uPwbBZFjjGgGUA6NLw09EwE0CqkOc4q9oUmW1yo/edit?usp=sharing"",""อุทัยธานี!M330"")"),54090)</f>
        <v>54090</v>
      </c>
      <c r="O435" s="411">
        <f t="shared" ref="O435:O439" ca="1" si="114">+IF(L435&gt;0,N435*100/L435,0)</f>
        <v>61.465909090909093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IFERROR(__xludf.DUMMYFUNCTION("IMPORTRANGE(""https://docs.google.com/spreadsheets/d/11923uPwbBZFjjGgGUA6NLw09EwE0CqkOc4q9oUmW1yo/edit?usp=sharing"",""อุทัยธานี!M332"")"),54090)</f>
        <v>54090</v>
      </c>
      <c r="O437" s="168">
        <f t="shared" ca="1" si="114"/>
        <v>61.465909090909093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IFERROR(__xludf.DUMMYFUNCTION("IMPORTRANGE(""https://docs.google.com/spreadsheets/d/11923uPwbBZFjjGgGUA6NLw09EwE0CqkOc4q9oUmW1yo/edit?usp=sharing"",""อุทัยธานี!M334"")"),54090)</f>
        <v>54090</v>
      </c>
      <c r="O439" s="168">
        <f t="shared" ca="1" si="114"/>
        <v>61.465909090909093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IFERROR(__xludf.DUMMYFUNCTION("IMPORTRANGE(""https://docs.google.com/spreadsheets/d/11923uPwbBZFjjGgGUA6NLw09EwE0CqkOc4q9oUmW1yo/edit?usp=sharing"",""อุทัยธานี!M335"")"),37200)</f>
        <v>37200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IFERROR(__xludf.DUMMYFUNCTION("IMPORTRANGE(""https://docs.google.com/spreadsheets/d/11923uPwbBZFjjGgGUA6NLw09EwE0CqkOc4q9oUmW1yo/edit?usp=sharing"",""อุทัยธานี!J350"")"),24034.4899999999)</f>
        <v>24034.4899999999</v>
      </c>
      <c r="K455" s="371">
        <f ca="1">IF(I455&gt;0,J455*100/I455,0)</f>
        <v>100.00203877839684</v>
      </c>
      <c r="L455" s="372">
        <f ca="1">IFERROR(__xludf.DUMMYFUNCTION("IMPORTRANGE(""https://docs.google.com/spreadsheets/d/11923uPwbBZFjjGgGUA6NLw09EwE0CqkOc4q9oUmW1yo/edit?usp=sharing"",""อุทัยธานี!L350"")"),296488.07)</f>
        <v>296488.07</v>
      </c>
      <c r="M455" s="372"/>
      <c r="N455" s="372">
        <f ca="1">IFERROR(__xludf.DUMMYFUNCTION("IMPORTRANGE(""https://docs.google.com/spreadsheets/d/11923uPwbBZFjjGgGUA6NLw09EwE0CqkOc4q9oUmW1yo/edit?usp=sharing"",""อุทัยธานี!M350"")"),29545)</f>
        <v>29545</v>
      </c>
      <c r="O455" s="372">
        <f t="shared" ref="O455:O459" ca="1" si="116">+IF(L455&gt;0,N455*100/L455,0)</f>
        <v>9.964987798665895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IFERROR(__xludf.DUMMYFUNCTION("IMPORTRANGE(""https://docs.google.com/spreadsheets/d/11923uPwbBZFjjGgGUA6NLw09EwE0CqkOc4q9oUmW1yo/edit?usp=sharing"",""อุทัยธานี!L352"")"),296488.07)</f>
        <v>296488.07</v>
      </c>
      <c r="M457" s="165"/>
      <c r="N457" s="168">
        <f ca="1">IFERROR(__xludf.DUMMYFUNCTION("IMPORTRANGE(""https://docs.google.com/spreadsheets/d/11923uPwbBZFjjGgGUA6NLw09EwE0CqkOc4q9oUmW1yo/edit?usp=sharing"",""อุทัยธานี!M352"")"),29545)</f>
        <v>29545</v>
      </c>
      <c r="O457" s="168">
        <f t="shared" ca="1" si="116"/>
        <v>9.964987798665895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IFERROR(__xludf.DUMMYFUNCTION("IMPORTRANGE(""https://docs.google.com/spreadsheets/d/11923uPwbBZFjjGgGUA6NLw09EwE0CqkOc4q9oUmW1yo/edit?usp=sharing"",""อุทัยธานี!L354"")"),296488.07)</f>
        <v>296488.07</v>
      </c>
      <c r="M459" s="168"/>
      <c r="N459" s="168">
        <f ca="1">IFERROR(__xludf.DUMMYFUNCTION("IMPORTRANGE(""https://docs.google.com/spreadsheets/d/11923uPwbBZFjjGgGUA6NLw09EwE0CqkOc4q9oUmW1yo/edit?usp=sharing"",""อุทัยธานี!M354"")"),29545)</f>
        <v>29545</v>
      </c>
      <c r="O459" s="168">
        <f t="shared" ca="1" si="116"/>
        <v>9.964987798665895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IFERROR(__xludf.DUMMYFUNCTION("IMPORTRANGE(""https://docs.google.com/spreadsheets/d/11923uPwbBZFjjGgGUA6NLw09EwE0CqkOc4q9oUmW1yo/edit?usp=sharing"",""อุทัยธานี!M358"")"),29545)</f>
        <v>29545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IFERROR(__xludf.DUMMYFUNCTION("IMPORTRANGE(""https://docs.google.com/spreadsheets/d/11923uPwbBZFjjGgGUA6NLw09EwE0CqkOc4q9oUmW1yo/edit?usp=sharing"",""อุทัยธานี!I359"")"),24034)</f>
        <v>24034</v>
      </c>
      <c r="J464" s="266">
        <f ca="1">IFERROR(__xludf.DUMMYFUNCTION("IMPORTRANGE(""https://docs.google.com/spreadsheets/d/11923uPwbBZFjjGgGUA6NLw09EwE0CqkOc4q9oUmW1yo/edit?usp=sharing"",""อุทัยธานี!J359"")"),24034.4899999999)</f>
        <v>24034.4899999999</v>
      </c>
      <c r="K464" s="267">
        <f t="shared" ref="K464:K515" ca="1" si="117">IF(I464&gt;0,J464*100/I464,0)</f>
        <v>100.00203877839684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IFERROR(__xludf.DUMMYFUNCTION("IMPORTRANGE(""https://docs.google.com/spreadsheets/d/11923uPwbBZFjjGgGUA6NLw09EwE0CqkOc4q9oUmW1yo/edit?usp=sharing"",""อุทัยธานี!J368"")"),24034.4899999999)</f>
        <v>24034.4899999999</v>
      </c>
      <c r="K473" s="201">
        <f t="shared" ca="1" si="117"/>
        <v>100.00203877839684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IFERROR(__xludf.DUMMYFUNCTION("IMPORTRANGE(""https://docs.google.com/spreadsheets/d/11923uPwbBZFjjGgGUA6NLw09EwE0CqkOc4q9oUmW1yo/edit?usp=sharing"",""อุทัยธานี!J370"")"),17811.8)</f>
        <v>17811.8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IFERROR(__xludf.DUMMYFUNCTION("IMPORTRANGE(""https://docs.google.com/spreadsheets/d/11923uPwbBZFjjGgGUA6NLw09EwE0CqkOc4q9oUmW1yo/edit?usp=sharing"",""อุทัยธานี!J372"")"),5020.41)</f>
        <v>5020.41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IFERROR(__xludf.DUMMYFUNCTION("IMPORTRANGE(""https://docs.google.com/spreadsheets/d/11923uPwbBZFjjGgGUA6NLw09EwE0CqkOc4q9oUmW1yo/edit?usp=sharing"",""อุทัยธานี!J373"")"),346)</f>
        <v>346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IFERROR(__xludf.DUMMYFUNCTION("IMPORTRANGE(""https://docs.google.com/spreadsheets/d/11923uPwbBZFjjGgGUA6NLw09EwE0CqkOc4q9oUmW1yo/edit?usp=sharing"",""อุทัยธานี!J374"")"),1202.28)</f>
        <v>1202.28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IFERROR(__xludf.DUMMYFUNCTION("IMPORTRANGE(""https://docs.google.com/spreadsheets/d/11923uPwbBZFjjGgGUA6NLw09EwE0CqkOc4q9oUmW1yo/edit?usp=sharing"",""อุทัยธานี!J375"")"),130)</f>
        <v>130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IFERROR(__xludf.DUMMYFUNCTION("IMPORTRANGE(""https://docs.google.com/spreadsheets/d/11923uPwbBZFjjGgGUA6NLw09EwE0CqkOc4q9oUmW1yo/edit?usp=sharing"",""อุทัยธานี!J376"")"),24034.4899999999)</f>
        <v>24034.4899999999</v>
      </c>
      <c r="K481" s="201">
        <f t="shared" ca="1" si="117"/>
        <v>100.00203877839684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IFERROR(__xludf.DUMMYFUNCTION("IMPORTRANGE(""https://docs.google.com/spreadsheets/d/11923uPwbBZFjjGgGUA6NLw09EwE0CqkOc4q9oUmW1yo/edit?usp=sharing"",""อุทัยธานี!J378"")"),17811.8)</f>
        <v>17811.8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IFERROR(__xludf.DUMMYFUNCTION("IMPORTRANGE(""https://docs.google.com/spreadsheets/d/11923uPwbBZFjjGgGUA6NLw09EwE0CqkOc4q9oUmW1yo/edit?usp=sharing"",""อุทัยธานี!J379"")"),2124)</f>
        <v>2124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IFERROR(__xludf.DUMMYFUNCTION("IMPORTRANGE(""https://docs.google.com/spreadsheets/d/11923uPwbBZFjjGgGUA6NLw09EwE0CqkOc4q9oUmW1yo/edit?usp=sharing"",""อุทัยธานี!J380"")"),5020.41)</f>
        <v>5020.41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IFERROR(__xludf.DUMMYFUNCTION("IMPORTRANGE(""https://docs.google.com/spreadsheets/d/11923uPwbBZFjjGgGUA6NLw09EwE0CqkOc4q9oUmW1yo/edit?usp=sharing"",""อุทัยธานี!J381"")"),346)</f>
        <v>346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IFERROR(__xludf.DUMMYFUNCTION("IMPORTRANGE(""https://docs.google.com/spreadsheets/d/11923uPwbBZFjjGgGUA6NLw09EwE0CqkOc4q9oUmW1yo/edit?usp=sharing"",""อุทัยธานี!J382"")"),1202.28)</f>
        <v>1202.28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IFERROR(__xludf.DUMMYFUNCTION("IMPORTRANGE(""https://docs.google.com/spreadsheets/d/11923uPwbBZFjjGgGUA6NLw09EwE0CqkOc4q9oUmW1yo/edit?usp=sharing"",""อุทัยธานี!J383"")"),130)</f>
        <v>130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IFERROR(__xludf.DUMMYFUNCTION("IMPORTRANGE(""https://docs.google.com/spreadsheets/d/11923uPwbBZFjjGgGUA6NLw09EwE0CqkOc4q9oUmW1yo/edit?usp=sharing"",""อุทัยธานี!J384"")"),1104.28)</f>
        <v>1104.28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IFERROR(__xludf.DUMMYFUNCTION("IMPORTRANGE(""https://docs.google.com/spreadsheets/d/11923uPwbBZFjjGgGUA6NLw09EwE0CqkOc4q9oUmW1yo/edit?usp=sharing"",""อุทัยธานี!J385"")"),119)</f>
        <v>119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IFERROR(__xludf.DUMMYFUNCTION("IMPORTRANGE(""https://docs.google.com/spreadsheets/d/11923uPwbBZFjjGgGUA6NLw09EwE0CqkOc4q9oUmW1yo/edit?usp=sharing"",""อุทัยธานี!J392"")"),303)</f>
        <v>303</v>
      </c>
      <c r="K497" s="444">
        <f t="shared" ca="1" si="117"/>
        <v>4.1095890410958908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IFERROR(__xludf.DUMMYFUNCTION("IMPORTRANGE(""https://docs.google.com/spreadsheets/d/11923uPwbBZFjjGgGUA6NLw09EwE0CqkOc4q9oUmW1yo/edit?usp=sharing"",""อุทัยธานี!J393"")"),303)</f>
        <v>303</v>
      </c>
      <c r="K498" s="163">
        <f t="shared" ca="1" si="117"/>
        <v>4.1095890410958908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IFERROR(__xludf.DUMMYFUNCTION("IMPORTRANGE(""https://docs.google.com/spreadsheets/d/11923uPwbBZFjjGgGUA6NLw09EwE0CqkOc4q9oUmW1yo/edit?usp=sharing"",""อุทัยธานี!J394"")"),21)</f>
        <v>21</v>
      </c>
      <c r="K499" s="201">
        <f t="shared" ca="1" si="117"/>
        <v>5.0970873786407767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IFERROR(__xludf.DUMMYFUNCTION("IMPORTRANGE(""https://docs.google.com/spreadsheets/d/11923uPwbBZFjjGgGUA6NLw09EwE0CqkOc4q9oUmW1yo/edit?usp=sharing"",""อุทัยธานี!J395"")"),303)</f>
        <v>303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IFERROR(__xludf.DUMMYFUNCTION("IMPORTRANGE(""https://docs.google.com/spreadsheets/d/11923uPwbBZFjjGgGUA6NLw09EwE0CqkOc4q9oUmW1yo/edit?usp=sharing"",""อุทัยธานี!J396"")"),21)</f>
        <v>21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IFERROR(__xludf.DUMMYFUNCTION("IMPORTRANGE(""https://docs.google.com/spreadsheets/d/11923uPwbBZFjjGgGUA6NLw09EwE0CqkOc4q9oUmW1yo/edit?usp=sharing"",""อุทัยธานี!J397"")"),277)</f>
        <v>277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IFERROR(__xludf.DUMMYFUNCTION("IMPORTRANGE(""https://docs.google.com/spreadsheets/d/11923uPwbBZFjjGgGUA6NLw09EwE0CqkOc4q9oUmW1yo/edit?usp=sharing"",""อุทัยธานี!I411"")"),0)</f>
        <v>0</v>
      </c>
      <c r="J516" s="266">
        <f ca="1">IFERROR(__xludf.DUMMYFUNCTION("IMPORTRANGE(""https://docs.google.com/spreadsheets/d/11923uPwbBZFjjGgGUA6NLw09EwE0CqkOc4q9oUmW1yo/edit?usp=sharing"",""อุทัยธานี!J411"")"),843)</f>
        <v>843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IFERROR(__xludf.DUMMYFUNCTION("IMPORTRANGE(""https://docs.google.com/spreadsheets/d/11923uPwbBZFjjGgGUA6NLw09EwE0CqkOc4q9oUmW1yo/edit?usp=sharing"",""อุทัยธานี!I412"")"),0)</f>
        <v>0</v>
      </c>
      <c r="J517" s="283">
        <f ca="1">IFERROR(__xludf.DUMMYFUNCTION("IMPORTRANGE(""https://docs.google.com/spreadsheets/d/11923uPwbBZFjjGgGUA6NLw09EwE0CqkOc4q9oUmW1yo/edit?usp=sharing"",""อุทัยธานี!J412"")"),0)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IFERROR(__xludf.DUMMYFUNCTION("IMPORTRANGE(""https://docs.google.com/spreadsheets/d/11923uPwbBZFjjGgGUA6NLw09EwE0CqkOc4q9oUmW1yo/edit?usp=sharing"",""อุทัยธานี!I413"")"),0)</f>
        <v>0</v>
      </c>
      <c r="J518" s="283">
        <f ca="1">IFERROR(__xludf.DUMMYFUNCTION("IMPORTRANGE(""https://docs.google.com/spreadsheets/d/11923uPwbBZFjjGgGUA6NLw09EwE0CqkOc4q9oUmW1yo/edit?usp=sharing"",""อุทัยธานี!J413"")"),0)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IFERROR(__xludf.DUMMYFUNCTION("IMPORTRANGE(""https://docs.google.com/spreadsheets/d/11923uPwbBZFjjGgGUA6NLw09EwE0CqkOc4q9oUmW1yo/edit?usp=sharing"",""อุทัยธานี!I420"")"),843)</f>
        <v>843</v>
      </c>
      <c r="J525" s="283">
        <f ca="1">IFERROR(__xludf.DUMMYFUNCTION("IMPORTRANGE(""https://docs.google.com/spreadsheets/d/11923uPwbBZFjjGgGUA6NLw09EwE0CqkOc4q9oUmW1yo/edit?usp=sharing"",""อุทัยธานี!J420"")"),0)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IFERROR(__xludf.DUMMYFUNCTION("IMPORTRANGE(""https://docs.google.com/spreadsheets/d/11923uPwbBZFjjGgGUA6NLw09EwE0CqkOc4q9oUmW1yo/edit?usp=sharing"",""อุทัยธานี!I421"")"),80)</f>
        <v>80</v>
      </c>
      <c r="J526" s="283">
        <f ca="1">IFERROR(__xludf.DUMMYFUNCTION("IMPORTRANGE(""https://docs.google.com/spreadsheets/d/11923uPwbBZFjjGgGUA6NLw09EwE0CqkOc4q9oUmW1yo/edit?usp=sharing"",""อุทัยธานี!J421"")"),0)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IFERROR(__xludf.DUMMYFUNCTION("IMPORTRANGE(""https://docs.google.com/spreadsheets/d/11923uPwbBZFjjGgGUA6NLw09EwE0CqkOc4q9oUmW1yo/edit?usp=sharing"",""อุทัยธานี!M428"")"),30290)</f>
        <v>30290</v>
      </c>
      <c r="O533" s="411">
        <f t="shared" ref="O533:O537" ca="1" si="118">+IF(L533&gt;0,N533*100/L533,0)</f>
        <v>84.04550499445061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IFERROR(__xludf.DUMMYFUNCTION("IMPORTRANGE(""https://docs.google.com/spreadsheets/d/11923uPwbBZFjjGgGUA6NLw09EwE0CqkOc4q9oUmW1yo/edit?usp=sharing"",""อุทัยธานี!J459"")"),1575)</f>
        <v>1575</v>
      </c>
      <c r="K564" s="371">
        <f ca="1">IF(I564&gt;0,J564*100/I564,0)</f>
        <v>101.61290322580645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IFERROR(__xludf.DUMMYFUNCTION("IMPORTRANGE(""https://docs.google.com/spreadsheets/d/11923uPwbBZFjjGgGUA6NLw09EwE0CqkOc4q9oUmW1yo/edit?usp=sharing"",""อุทัยธานี!M459"")"),60651.33)</f>
        <v>60651.33</v>
      </c>
      <c r="O564" s="372">
        <f t="shared" ref="O564:O568" ca="1" si="122">+IF(L564&gt;0,N564*100/L564,0)</f>
        <v>44.309855347749853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IFERROR(__xludf.DUMMYFUNCTION("IMPORTRANGE(""https://docs.google.com/spreadsheets/d/11923uPwbBZFjjGgGUA6NLw09EwE0CqkOc4q9oUmW1yo/edit?usp=sharing"",""อุทัยธานี!M461"")"),60651.33)</f>
        <v>60651.33</v>
      </c>
      <c r="O566" s="168">
        <f t="shared" ca="1" si="122"/>
        <v>44.309855347749853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IFERROR(__xludf.DUMMYFUNCTION("IMPORTRANGE(""https://docs.google.com/spreadsheets/d/11923uPwbBZFjjGgGUA6NLw09EwE0CqkOc4q9oUmW1yo/edit?usp=sharing"",""อุทัยธานี!M463"")"),60651.33)</f>
        <v>60651.33</v>
      </c>
      <c r="O568" s="168">
        <f t="shared" ca="1" si="122"/>
        <v>44.309855347749853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IFERROR(__xludf.DUMMYFUNCTION("IMPORTRANGE(""https://docs.google.com/spreadsheets/d/11923uPwbBZFjjGgGUA6NLw09EwE0CqkOc4q9oUmW1yo/edit?usp=sharing"",""อุทัยธานี!M466"")"),40729.33)</f>
        <v>40729.33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IFERROR(__xludf.DUMMYFUNCTION("IMPORTRANGE(""https://docs.google.com/spreadsheets/d/11923uPwbBZFjjGgGUA6NLw09EwE0CqkOc4q9oUmW1yo/edit?usp=sharing"",""อุทัยธานี!M467"")"),19922)</f>
        <v>19922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IFERROR(__xludf.DUMMYFUNCTION("IMPORTRANGE(""https://docs.google.com/spreadsheets/d/11923uPwbBZFjjGgGUA6NLw09EwE0CqkOc4q9oUmW1yo/edit?usp=sharing"",""อุทัยธานี!J468"")"),1575)</f>
        <v>1575</v>
      </c>
      <c r="K573" s="201">
        <f ca="1">IF(I573&gt;0,J573*100/I573,0)</f>
        <v>101.61290322580645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IFERROR(__xludf.DUMMYFUNCTION("IMPORTRANGE(""https://docs.google.com/spreadsheets/d/11923uPwbBZFjjGgGUA6NLw09EwE0CqkOc4q9oUmW1yo/edit?usp=sharing"",""อุทัยธานี!J471"")"),251)</f>
        <v>251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IFERROR(__xludf.DUMMYFUNCTION("IMPORTRANGE(""https://docs.google.com/spreadsheets/d/11923uPwbBZFjjGgGUA6NLw09EwE0CqkOc4q9oUmW1yo/edit?usp=sharing"",""อุทัยธานี!J472"")"),1324)</f>
        <v>1324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IFERROR(__xludf.DUMMYFUNCTION("IMPORTRANGE(""https://docs.google.com/spreadsheets/d/11923uPwbBZFjjGgGUA6NLw09EwE0CqkOc4q9oUmW1yo/edit?usp=sharing"",""อุทัยธานี!J475"")"),7)</f>
        <v>7</v>
      </c>
      <c r="K580" s="371">
        <f ca="1">IF(I580&gt;0,J580*100/I580,0)</f>
        <v>100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IFERROR(__xludf.DUMMYFUNCTION("IMPORTRANGE(""https://docs.google.com/spreadsheets/d/11923uPwbBZFjjGgGUA6NLw09EwE0CqkOc4q9oUmW1yo/edit?usp=sharing"",""อุทัยธานี!M475"")"),5920)</f>
        <v>5920</v>
      </c>
      <c r="O580" s="372">
        <f t="shared" ref="O580:O584" ca="1" si="124">+IF(L580&gt;0,N580*100/L580,0)</f>
        <v>5.2924716378948125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IFERROR(__xludf.DUMMYFUNCTION("IMPORTRANGE(""https://docs.google.com/spreadsheets/d/11923uPwbBZFjjGgGUA6NLw09EwE0CqkOc4q9oUmW1yo/edit?usp=sharing"",""อุทัยธานี!M477"")"),5920)</f>
        <v>5920</v>
      </c>
      <c r="O582" s="168">
        <f t="shared" ca="1" si="124"/>
        <v>5.2924716378948125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IFERROR(__xludf.DUMMYFUNCTION("IMPORTRANGE(""https://docs.google.com/spreadsheets/d/11923uPwbBZFjjGgGUA6NLw09EwE0CqkOc4q9oUmW1yo/edit?usp=sharing"",""อุทัยธานี!M479"")"),5920)</f>
        <v>5920</v>
      </c>
      <c r="O584" s="168">
        <f t="shared" ca="1" si="124"/>
        <v>5.2924716378948125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IFERROR(__xludf.DUMMYFUNCTION("IMPORTRANGE(""https://docs.google.com/spreadsheets/d/11923uPwbBZFjjGgGUA6NLw09EwE0CqkOc4q9oUmW1yo/edit?usp=sharing"",""อุทัยธานี!M483"")"),5920)</f>
        <v>5920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IFERROR(__xludf.DUMMYFUNCTION("IMPORTRANGE(""https://docs.google.com/spreadsheets/d/11923uPwbBZFjjGgGUA6NLw09EwE0CqkOc4q9oUmW1yo/edit?usp=sharing"",""อุทัยธานี!J484"")"),4)</f>
        <v>4</v>
      </c>
      <c r="K589" s="163">
        <f t="shared" ref="K589:K596" ca="1" si="125">IF(I589&gt;0,J589*100/I589,0)</f>
        <v>57.142857142857146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IFERROR(__xludf.DUMMYFUNCTION("IMPORTRANGE(""https://docs.google.com/spreadsheets/d/11923uPwbBZFjjGgGUA6NLw09EwE0CqkOc4q9oUmW1yo/edit?usp=sharing"",""อุทัยธานี!J485"")"),3.02)</f>
        <v>3.02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IFERROR(__xludf.DUMMYFUNCTION("IMPORTRANGE(""https://docs.google.com/spreadsheets/d/11923uPwbBZFjjGgGUA6NLw09EwE0CqkOc4q9oUmW1yo/edit?usp=sharing"",""อุทัยธานี!J486"")"),7)</f>
        <v>7</v>
      </c>
      <c r="K591" s="163">
        <f t="shared" ca="1" si="125"/>
        <v>100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IFERROR(__xludf.DUMMYFUNCTION("IMPORTRANGE(""https://docs.google.com/spreadsheets/d/11923uPwbBZFjjGgGUA6NLw09EwE0CqkOc4q9oUmW1yo/edit?usp=sharing"",""อุทัยธานี!J487"")"),5.5)</f>
        <v>5.5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IFERROR(__xludf.DUMMYFUNCTION("IMPORTRANGE(""https://docs.google.com/spreadsheets/d/11923uPwbBZFjjGgGUA6NLw09EwE0CqkOc4q9oUmW1yo/edit?usp=sharing"",""อุทัยธานี!J490"")"),7)</f>
        <v>7</v>
      </c>
      <c r="K595" s="163">
        <f t="shared" ca="1" si="125"/>
        <v>100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IFERROR(__xludf.DUMMYFUNCTION("IMPORTRANGE(""https://docs.google.com/spreadsheets/d/11923uPwbBZFjjGgGUA6NLw09EwE0CqkOc4q9oUmW1yo/edit?usp=sharing"",""อุทัยธานี!I491"")"),0)</f>
        <v>0</v>
      </c>
      <c r="J596" s="240">
        <f ca="1">IFERROR(__xludf.DUMMYFUNCTION("IMPORTRANGE(""https://docs.google.com/spreadsheets/d/11923uPwbBZFjjGgGUA6NLw09EwE0CqkOc4q9oUmW1yo/edit?usp=sharing"",""อุทัยธานี!J491"")"),5.5)</f>
        <v>5.5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7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IFERROR(__xludf.DUMMYFUNCTION("IMPORTRANGE(""https://docs.google.com/spreadsheets/d/11923uPwbBZFjjGgGUA6NLw09EwE0CqkOc4q9oUmW1yo/edit?usp=sharing"",""อุทัยธานี!L492"")"),8550)</f>
        <v>8550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67.836257309941516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IFERROR(__xludf.DUMMYFUNCTION("IMPORTRANGE(""https://docs.google.com/spreadsheets/d/11923uPwbBZFjjGgGUA6NLw09EwE0CqkOc4q9oUmW1yo/edit?usp=sharing"",""อุทัยธานี!I523"")"),1955020.27)</f>
        <v>1955020.27</v>
      </c>
      <c r="J628" s="340">
        <f ca="1">IFERROR(__xludf.DUMMYFUNCTION("IMPORTRANGE(""https://docs.google.com/spreadsheets/d/11923uPwbBZFjjGgGUA6NLw09EwE0CqkOc4q9oUmW1yo/edit?usp=sharing"",""อุทัยธานี!J523"")"),438385.71)</f>
        <v>438385.71</v>
      </c>
      <c r="K628" s="341">
        <f t="shared" ref="K628:K635" ca="1" si="129">IF(I628&gt;0,J628*100/I628,0)</f>
        <v>22.423588989182193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IFERROR(__xludf.DUMMYFUNCTION("IMPORTRANGE(""https://docs.google.com/spreadsheets/d/11923uPwbBZFjjGgGUA6NLw09EwE0CqkOc4q9oUmW1yo/edit?usp=sharing"",""อุทัยธานี!I524"")"),111)</f>
        <v>111</v>
      </c>
      <c r="J629" s="340">
        <f ca="1">IFERROR(__xludf.DUMMYFUNCTION("IMPORTRANGE(""https://docs.google.com/spreadsheets/d/11923uPwbBZFjjGgGUA6NLw09EwE0CqkOc4q9oUmW1yo/edit?usp=sharing"",""อุทัยธานี!J524"")"),44)</f>
        <v>44</v>
      </c>
      <c r="K629" s="341">
        <f t="shared" ca="1" si="129"/>
        <v>39.63963963963964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0">
        <f ca="1">IFERROR(__xludf.DUMMYFUNCTION("IMPORTRANGE(""https://docs.google.com/spreadsheets/d/11923uPwbBZFjjGgGUA6NLw09EwE0CqkOc4q9oUmW1yo/edit?usp=sharing"",""อุทัยธานี!J525"")"),1671275.6)</f>
        <v>1671275.6</v>
      </c>
      <c r="K630" s="341">
        <f t="shared" ca="1" si="129"/>
        <v>13.592636906914878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IFERROR(__xludf.DUMMYFUNCTION("IMPORTRANGE(""https://docs.google.com/spreadsheets/d/11923uPwbBZFjjGgGUA6NLw09EwE0CqkOc4q9oUmW1yo/edit?usp=sharing"",""อุทัยธานี!I526"")"),678)</f>
        <v>678</v>
      </c>
      <c r="J631" s="340">
        <f ca="1">IFERROR(__xludf.DUMMYFUNCTION("IMPORTRANGE(""https://docs.google.com/spreadsheets/d/11923uPwbBZFjjGgGUA6NLw09EwE0CqkOc4q9oUmW1yo/edit?usp=sharing"",""อุทัยธานี!J526"")"),240)</f>
        <v>240</v>
      </c>
      <c r="K631" s="341">
        <f t="shared" ca="1" si="129"/>
        <v>35.398230088495573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0">
        <f ca="1">IFERROR(__xludf.DUMMYFUNCTION("IMPORTRANGE(""https://docs.google.com/spreadsheets/d/11923uPwbBZFjjGgGUA6NLw09EwE0CqkOc4q9oUmW1yo/edit?usp=sharing"",""อุทัยธานี!J527"")"),1140464.61)</f>
        <v>1140464.6100000001</v>
      </c>
      <c r="K632" s="341">
        <f t="shared" ca="1" si="129"/>
        <v>28.646454757086843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IFERROR(__xludf.DUMMYFUNCTION("IMPORTRANGE(""https://docs.google.com/spreadsheets/d/11923uPwbBZFjjGgGUA6NLw09EwE0CqkOc4q9oUmW1yo/edit?usp=sharing"",""อุทัยธานี!I528"")"),248)</f>
        <v>248</v>
      </c>
      <c r="J633" s="340">
        <f ca="1">IFERROR(__xludf.DUMMYFUNCTION("IMPORTRANGE(""https://docs.google.com/spreadsheets/d/11923uPwbBZFjjGgGUA6NLw09EwE0CqkOc4q9oUmW1yo/edit?usp=sharing"",""อุทัยธานี!J528"")"),127)</f>
        <v>127</v>
      </c>
      <c r="K633" s="341">
        <f t="shared" ca="1" si="129"/>
        <v>51.20967741935484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IFERROR(__xludf.DUMMYFUNCTION("IMPORTRANGE(""https://docs.google.com/spreadsheets/d/11923uPwbBZFjjGgGUA6NLw09EwE0CqkOc4q9oUmW1yo/edit?usp=sharing"",""อุทัยธานี!I529"")"),2000000)</f>
        <v>2000000</v>
      </c>
      <c r="J634" s="340">
        <f ca="1">IFERROR(__xludf.DUMMYFUNCTION("IMPORTRANGE(""https://docs.google.com/spreadsheets/d/11923uPwbBZFjjGgGUA6NLw09EwE0CqkOc4q9oUmW1yo/edit?usp=sharing"",""อุทัยธานี!J529"")"),1000000)</f>
        <v>1000000</v>
      </c>
      <c r="K634" s="341">
        <f t="shared" ca="1" si="129"/>
        <v>50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IFERROR(__xludf.DUMMYFUNCTION("IMPORTRANGE(""https://docs.google.com/spreadsheets/d/11923uPwbBZFjjGgGUA6NLw09EwE0CqkOc4q9oUmW1yo/edit?usp=sharing"",""อุทัยธานี!I530"")"),96)</f>
        <v>96</v>
      </c>
      <c r="J635" s="504">
        <f ca="1">IFERROR(__xludf.DUMMYFUNCTION("IMPORTRANGE(""https://docs.google.com/spreadsheets/d/11923uPwbBZFjjGgGUA6NLw09EwE0CqkOc4q9oUmW1yo/edit?usp=sharing"",""อุทัยธานี!J530"")"),50)</f>
        <v>50</v>
      </c>
      <c r="K635" s="486">
        <f t="shared" ca="1" si="129"/>
        <v>52.083333333333336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P4" sqref="P4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238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7326131.3300000001</v>
      </c>
      <c r="M8" s="23">
        <f t="shared" ca="1" si="0"/>
        <v>3152672</v>
      </c>
      <c r="N8" s="23">
        <f t="shared" ca="1" si="0"/>
        <v>2595431.4500000002</v>
      </c>
      <c r="O8" s="22">
        <f t="shared" ref="O8:O16" ca="1" si="1">IF(L8&gt;0,N8*100/L8,0)</f>
        <v>35.427039635119407</v>
      </c>
      <c r="P8" s="22">
        <f t="shared" ref="P8:P16" ca="1" si="2">IF(M8&gt;0,N8*100/M8,0)</f>
        <v>82.324816853767231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7326131.3300000001</v>
      </c>
      <c r="M10" s="30">
        <f t="shared" ca="1" si="4"/>
        <v>3152672</v>
      </c>
      <c r="N10" s="30">
        <f t="shared" ca="1" si="4"/>
        <v>2595431.4500000002</v>
      </c>
      <c r="O10" s="29">
        <f t="shared" ca="1" si="1"/>
        <v>35.427039635119407</v>
      </c>
      <c r="P10" s="29">
        <f t="shared" ca="1" si="2"/>
        <v>82.324816853767231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7326131.3300000001</v>
      </c>
      <c r="M12" s="39">
        <f t="shared" ca="1" si="6"/>
        <v>3152672</v>
      </c>
      <c r="N12" s="39">
        <f t="shared" ca="1" si="6"/>
        <v>2595431.4500000002</v>
      </c>
      <c r="O12" s="39">
        <f t="shared" ca="1" si="1"/>
        <v>35.427039635119407</v>
      </c>
      <c r="P12" s="39">
        <f t="shared" ca="1" si="2"/>
        <v>82.324816853767231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2181000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5145131.33</v>
      </c>
      <c r="M14" s="39">
        <f t="shared" si="8"/>
        <v>0</v>
      </c>
      <c r="N14" s="39">
        <f t="shared" ca="1" si="8"/>
        <v>660424.44999999995</v>
      </c>
      <c r="O14" s="39">
        <f t="shared" ca="1" si="1"/>
        <v>12.83591044895641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3957295</v>
      </c>
      <c r="M18" s="23">
        <f t="shared" ca="1" si="11"/>
        <v>3152672</v>
      </c>
      <c r="N18" s="23">
        <f t="shared" ca="1" si="11"/>
        <v>1935007</v>
      </c>
      <c r="O18" s="22">
        <f t="shared" ref="O18:O20" ca="1" si="12">IF(L18&gt;0,N18*100/L18,0)</f>
        <v>48.897213879682965</v>
      </c>
      <c r="P18" s="22">
        <f t="shared" ref="P18:P26" ca="1" si="13">IF(M18&gt;0,N18*100/M18,0)</f>
        <v>61.37673059550756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3957295</v>
      </c>
      <c r="M20" s="30">
        <f t="shared" ca="1" si="15"/>
        <v>3152672</v>
      </c>
      <c r="N20" s="30">
        <f t="shared" ca="1" si="15"/>
        <v>1935007</v>
      </c>
      <c r="O20" s="29">
        <f t="shared" ca="1" si="12"/>
        <v>48.897213879682965</v>
      </c>
      <c r="P20" s="29">
        <f t="shared" ca="1" si="13"/>
        <v>61.37673059550756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3957295</v>
      </c>
      <c r="M22" s="42">
        <f t="shared" ca="1" si="18"/>
        <v>3152672</v>
      </c>
      <c r="N22" s="39">
        <f t="shared" ca="1" si="18"/>
        <v>1935007</v>
      </c>
      <c r="O22" s="39">
        <f t="shared" ca="1" si="17"/>
        <v>48.897213879682965</v>
      </c>
      <c r="P22" s="39">
        <f t="shared" ca="1" si="13"/>
        <v>61.37673059550756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2181000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1776295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3368836.33</v>
      </c>
      <c r="M28" s="23">
        <f t="shared" si="23"/>
        <v>0</v>
      </c>
      <c r="N28" s="23">
        <f t="shared" ca="1" si="23"/>
        <v>660424.44999999995</v>
      </c>
      <c r="O28" s="22">
        <f t="shared" ref="O28:O30" ca="1" si="24">IF(L28&gt;0,N28*100/L28,0)</f>
        <v>19.60393397918503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3368836.33</v>
      </c>
      <c r="M30" s="30">
        <f t="shared" si="27"/>
        <v>0</v>
      </c>
      <c r="N30" s="30">
        <f t="shared" ca="1" si="27"/>
        <v>660424.44999999995</v>
      </c>
      <c r="O30" s="29">
        <f t="shared" ca="1" si="24"/>
        <v>19.60393397918503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3368836.33</v>
      </c>
      <c r="M32" s="39">
        <f t="shared" si="30"/>
        <v>0</v>
      </c>
      <c r="N32" s="39">
        <f t="shared" ca="1" si="30"/>
        <v>660424.44999999995</v>
      </c>
      <c r="O32" s="39">
        <f t="shared" ca="1" si="29"/>
        <v>19.60393397918503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3368836.33</v>
      </c>
      <c r="M34" s="39">
        <f t="shared" si="32"/>
        <v>0</v>
      </c>
      <c r="N34" s="39">
        <f t="shared" ca="1" si="32"/>
        <v>660424.44999999995</v>
      </c>
      <c r="O34" s="39">
        <f t="shared" ca="1" si="29"/>
        <v>19.60393397918503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3957295</v>
      </c>
      <c r="M37" s="55">
        <f t="shared" ca="1" si="33"/>
        <v>3152672</v>
      </c>
      <c r="N37" s="55">
        <f t="shared" ca="1" si="33"/>
        <v>1935007</v>
      </c>
      <c r="O37" s="56">
        <f t="shared" ca="1" si="29"/>
        <v>48.897213879682965</v>
      </c>
      <c r="P37" s="56">
        <f t="shared" ca="1" si="25"/>
        <v>61.37673059550756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630700</v>
      </c>
      <c r="N41" s="79">
        <f t="shared" ca="1" si="34"/>
        <v>429229.12</v>
      </c>
      <c r="O41" s="78">
        <f t="shared" ref="O41:O43" ca="1" si="35">IF(L41&gt;0,N41*100/L41,0)</f>
        <v>51.044014746105361</v>
      </c>
      <c r="P41" s="78">
        <f t="shared" ref="P41:P43" ca="1" si="36">IF(M41&gt;0,N41*100/M41,0)</f>
        <v>68.055988584112896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630700</v>
      </c>
      <c r="N43" s="79">
        <f t="shared" ca="1" si="38"/>
        <v>429229.12</v>
      </c>
      <c r="O43" s="78">
        <f t="shared" ca="1" si="35"/>
        <v>51.044014746105361</v>
      </c>
      <c r="P43" s="78">
        <f t="shared" ca="1" si="36"/>
        <v>68.055988584112896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IFERROR(__xludf.DUMMYFUNCTION("IMPORTRANGE(""https://docs.google.com/spreadsheets/d/1Yj_ptqi66GCucihVvJfMjLAmec39IyEx_6qawtMGysU/edit?usp=sharing"",""สบก!Q20"")"),630700)</f>
        <v>630700</v>
      </c>
      <c r="N45" s="50">
        <f ca="1">IFERROR(__xludf.DUMMYFUNCTION("IMPORTRANGE(""https://docs.google.com/spreadsheets/d/1Yj_ptqi66GCucihVvJfMjLAmec39IyEx_6qawtMGysU/edit?usp=sharing"",""สบก!R20"")"),429229.12)</f>
        <v>429229.12</v>
      </c>
      <c r="O45" s="39">
        <f ca="1">IF(L45&gt;0,N45*100/L45,0)</f>
        <v>51.044014746105361</v>
      </c>
      <c r="P45" s="39">
        <f ca="1">IF(M45&gt;0,N45*100/M45,0)</f>
        <v>68.055988584112896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469000</v>
      </c>
      <c r="M53" s="121">
        <f t="shared" ca="1" si="39"/>
        <v>372032</v>
      </c>
      <c r="N53" s="121">
        <f t="shared" ca="1" si="39"/>
        <v>263355</v>
      </c>
      <c r="O53" s="120">
        <f t="shared" ref="O53:O55" ca="1" si="40">IF(L53&gt;0,N53*100/L53,0)</f>
        <v>56.152452025586356</v>
      </c>
      <c r="P53" s="120">
        <f t="shared" ref="P53:P55" ca="1" si="41">IF(M53&gt;0,N53*100/M53,0)</f>
        <v>70.788265525546194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469000</v>
      </c>
      <c r="M55" s="121">
        <f t="shared" ca="1" si="43"/>
        <v>372032</v>
      </c>
      <c r="N55" s="121">
        <f t="shared" ca="1" si="43"/>
        <v>263355</v>
      </c>
      <c r="O55" s="120">
        <f t="shared" ca="1" si="40"/>
        <v>56.152452025586356</v>
      </c>
      <c r="P55" s="120">
        <f t="shared" ca="1" si="41"/>
        <v>70.788265525546194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469000</v>
      </c>
      <c r="M57" s="50">
        <f ca="1">IFERROR(__xludf.DUMMYFUNCTION("IMPORTRANGE(""https://docs.google.com/spreadsheets/d/1Yj_ptqi66GCucihVvJfMjLAmec39IyEx_6qawtMGysU/edit?usp=sharing"",""สบก!Z20"")"),372032)</f>
        <v>372032</v>
      </c>
      <c r="N57" s="50">
        <f ca="1">IFERROR(__xludf.DUMMYFUNCTION("IMPORTRANGE(""https://docs.google.com/spreadsheets/d/1Yj_ptqi66GCucihVvJfMjLAmec39IyEx_6qawtMGysU/edit?usp=sharing"",""สบก!AA20"")"),263355)</f>
        <v>263355</v>
      </c>
      <c r="O57" s="39">
        <f ca="1">IF(L57&gt;0,N57*100/L57,0)</f>
        <v>56.152452025586356</v>
      </c>
      <c r="P57" s="39">
        <f ca="1">IF(M57&gt;0,N57*100/M57,0)</f>
        <v>70.788265525546194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IFERROR(__xludf.DUMMYFUNCTION("IMPORTRANGE(""https://docs.google.com/spreadsheets/d/1Yj_ptqi66GCucihVvJfMjLAmec39IyEx_6qawtMGysU/edit?usp=sharing"",""สบก!V20"")"),469000)</f>
        <v>469000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IFERROR(__xludf.DUMMYFUNCTION("IMPORTRANGE(""https://docs.google.com/spreadsheets/d/11923uPwbBZFjjGgGUA6NLw09EwE0CqkOc4q9oUmW1yo/edit?usp=sharing"",""กำแพงเพชร!J50"")"),0)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66080</v>
      </c>
      <c r="O118" s="151">
        <f t="shared" ref="O118:O120" ca="1" si="59">IF(L118&gt;0,N118*100/L118,0)</f>
        <v>80.155264434740417</v>
      </c>
      <c r="P118" s="151">
        <f t="shared" ref="P118:P120" ca="1" si="60">IF(M118&gt;0,N118*100/M118,0)</f>
        <v>80.155264434740417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66080</v>
      </c>
      <c r="O120" s="156">
        <f t="shared" ca="1" si="59"/>
        <v>80.155264434740417</v>
      </c>
      <c r="P120" s="156">
        <f t="shared" ca="1" si="60"/>
        <v>80.155264434740417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80.155264434740417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239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IFERROR(__xludf.DUMMYFUNCTION("IMPORTRANGE(""https://docs.google.com/spreadsheets/d/11923uPwbBZFjjGgGUA6NLw09EwE0CqkOc4q9oUmW1yo/edit?usp=sharing"",""กำแพงเพชร!J65"")"),0)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IFERROR(__xludf.DUMMYFUNCTION("IMPORTRANGE(""https://docs.google.com/spreadsheets/d/11923uPwbBZFjjGgGUA6NLw09EwE0CqkOc4q9oUmW1yo/edit?usp=sharing"",""กำแพงเพชร!I68"")"),0)</f>
        <v>0</v>
      </c>
      <c r="J138" s="266">
        <f ca="1">IFERROR(__xludf.DUMMYFUNCTION("IMPORTRANGE(""https://docs.google.com/spreadsheets/d/11923uPwbBZFjjGgGUA6NLw09EwE0CqkOc4q9oUmW1yo/edit?usp=sharing"",""กำแพงเพชร!J68"")"),0)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145425</v>
      </c>
      <c r="N140" s="152">
        <f t="shared" ca="1" si="64"/>
        <v>110350</v>
      </c>
      <c r="O140" s="151">
        <f t="shared" ref="O140:O142" ca="1" si="65">IF(L140&gt;0,N140*100/L140,0)</f>
        <v>159.92753623188406</v>
      </c>
      <c r="P140" s="151">
        <f t="shared" ref="P140:P142" ca="1" si="66">IF(M140&gt;0,N140*100/M140,0)</f>
        <v>75.881038335911981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145425</v>
      </c>
      <c r="N142" s="88">
        <f t="shared" ca="1" si="68"/>
        <v>110350</v>
      </c>
      <c r="O142" s="156">
        <f t="shared" ca="1" si="65"/>
        <v>159.92753623188406</v>
      </c>
      <c r="P142" s="156">
        <f t="shared" ca="1" si="66"/>
        <v>75.881038335911981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IFERROR(__xludf.DUMMYFUNCTION("IMPORTRANGE(""https://docs.google.com/spreadsheets/d/1Yj_ptqi66GCucihVvJfMjLAmec39IyEx_6qawtMGysU/edit?usp=sharing"",""สบก!BJ20"")"),145425)</f>
        <v>145425</v>
      </c>
      <c r="N144" s="168">
        <f ca="1">IFERROR(__xludf.DUMMYFUNCTION("IMPORTRANGE(""https://docs.google.com/spreadsheets/d/1Yj_ptqi66GCucihVvJfMjLAmec39IyEx_6qawtMGysU/edit?usp=sharing"",""สบก!BK20"")"),110350)</f>
        <v>110350</v>
      </c>
      <c r="O144" s="168">
        <f ca="1">IF(L144&gt;0,N144*100/L144,0)</f>
        <v>159.92753623188406</v>
      </c>
      <c r="P144" s="168">
        <f ca="1">IF(M144&gt;0,N144*100/M144,0)</f>
        <v>75.881038335911981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IFERROR(__xludf.DUMMYFUNCTION("IMPORTRANGE(""https://docs.google.com/spreadsheets/d/11923uPwbBZFjjGgGUA6NLw09EwE0CqkOc4q9oUmW1yo/edit?usp=sharing"",""กำแพงเพชร!I74"")"),4)</f>
        <v>4</v>
      </c>
      <c r="J149" s="274">
        <f ca="1">IFERROR(__xludf.DUMMYFUNCTION("IMPORTRANGE(""https://docs.google.com/spreadsheets/d/11923uPwbBZFjjGgGUA6NLw09EwE0CqkOc4q9oUmW1yo/edit?usp=sharing"",""กำแพงเพชร!J74"")"),2)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IFERROR(__xludf.DUMMYFUNCTION("IMPORTRANGE(""https://docs.google.com/spreadsheets/d/11923uPwbBZFjjGgGUA6NLw09EwE0CqkOc4q9oUmW1yo/edit?usp=sharing"",""กำแพงเพชร!J84"")"),33)</f>
        <v>33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IFERROR(__xludf.DUMMYFUNCTION("IMPORTRANGE(""https://docs.google.com/spreadsheets/d/11923uPwbBZFjjGgGUA6NLw09EwE0CqkOc4q9oUmW1yo/edit?usp=sharing"",""กำแพงเพชร!J85"")"),33)</f>
        <v>33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IFERROR(__xludf.DUMMYFUNCTION("IMPORTRANGE(""https://docs.google.com/spreadsheets/d/11923uPwbBZFjjGgGUA6NLw09EwE0CqkOc4q9oUmW1yo/edit?usp=sharing"",""กำแพงเพชร!I89"")"),3)</f>
        <v>3</v>
      </c>
      <c r="J164" s="283">
        <f ca="1">IFERROR(__xludf.DUMMYFUNCTION("IMPORTRANGE(""https://docs.google.com/spreadsheets/d/11923uPwbBZFjjGgGUA6NLw09EwE0CqkOc4q9oUmW1yo/edit?usp=sharing"",""กำแพงเพชร!J89"")"),2)</f>
        <v>2</v>
      </c>
      <c r="K164" s="284">
        <f ca="1">IF(I164&gt;0,J164*100/I164,0)</f>
        <v>66.666666666666671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IFERROR(__xludf.DUMMYFUNCTION("IMPORTRANGE(""https://docs.google.com/spreadsheets/d/11923uPwbBZFjjGgGUA6NLw09EwE0CqkOc4q9oUmW1yo/edit?usp=sharing"",""กำแพงเพชร!I101"")"),0)</f>
        <v>0</v>
      </c>
      <c r="J176" s="283">
        <f ca="1">IFERROR(__xludf.DUMMYFUNCTION("IMPORTRANGE(""https://docs.google.com/spreadsheets/d/11923uPwbBZFjjGgGUA6NLw09EwE0CqkOc4q9oUmW1yo/edit?usp=sharing"",""กำแพงเพชร!J101"")"),0)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IFERROR(__xludf.DUMMYFUNCTION("IMPORTRANGE(""https://docs.google.com/spreadsheets/d/11923uPwbBZFjjGgGUA6NLw09EwE0CqkOc4q9oUmW1yo/edit?usp=sharing"",""กำแพงเพชร!J113"")"),0)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IFERROR(__xludf.DUMMYFUNCTION("IMPORTRANGE(""https://docs.google.com/spreadsheets/d/11923uPwbBZFjjGgGUA6NLw09EwE0CqkOc4q9oUmW1yo/edit?usp=sharing"",""กำแพงเพชร!I114"")"),50000)</f>
        <v>50000</v>
      </c>
      <c r="J189" s="283">
        <f ca="1">IFERROR(__xludf.DUMMYFUNCTION("IMPORTRANGE(""https://docs.google.com/spreadsheets/d/11923uPwbBZFjjGgGUA6NLw09EwE0CqkOc4q9oUmW1yo/edit?usp=sharing"",""กำแพงเพชร!J114"")"),0)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IFERROR(__xludf.DUMMYFUNCTION("IMPORTRANGE(""https://docs.google.com/spreadsheets/d/11923uPwbBZFjjGgGUA6NLw09EwE0CqkOc4q9oUmW1yo/edit?usp=sharing"",""กำแพงเพชร!J128"")"),0)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IFERROR(__xludf.DUMMYFUNCTION("IMPORTRANGE(""https://docs.google.com/spreadsheets/d/11923uPwbBZFjjGgGUA6NLw09EwE0CqkOc4q9oUmW1yo/edit?usp=sharing"",""กำแพงเพชร!I129"")"),0)</f>
        <v>0</v>
      </c>
      <c r="J204" s="283">
        <f ca="1">IFERROR(__xludf.DUMMYFUNCTION("IMPORTRANGE(""https://docs.google.com/spreadsheets/d/11923uPwbBZFjjGgGUA6NLw09EwE0CqkOc4q9oUmW1yo/edit?usp=sharing"",""กำแพงเพชร!J129"")"),0)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IFERROR(__xludf.DUMMYFUNCTION("IMPORTRANGE(""https://docs.google.com/spreadsheets/d/11923uPwbBZFjjGgGUA6NLw09EwE0CqkOc4q9oUmW1yo/edit?usp=sharing"",""กำแพงเพชร!J143"")"),0)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IFERROR(__xludf.DUMMYFUNCTION("IMPORTRANGE(""https://docs.google.com/spreadsheets/d/11923uPwbBZFjjGgGUA6NLw09EwE0CqkOc4q9oUmW1yo/edit?usp=sharing"",""กำแพงเพชร!I144"")"),15)</f>
        <v>15</v>
      </c>
      <c r="J219" s="266">
        <f ca="1">IFERROR(__xludf.DUMMYFUNCTION("IMPORTRANGE(""https://docs.google.com/spreadsheets/d/11923uPwbBZFjjGgGUA6NLw09EwE0CqkOc4q9oUmW1yo/edit?usp=sharing"",""กำแพงเพชร!J144"")"),15)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IFERROR(__xludf.DUMMYFUNCTION("IMPORTRANGE(""https://docs.google.com/spreadsheets/d/11923uPwbBZFjjGgGUA6NLw09EwE0CqkOc4q9oUmW1yo/edit?usp=sharing"",""กำแพงเพชร!I149"")"),15)</f>
        <v>15</v>
      </c>
      <c r="J229" s="266">
        <f ca="1">IFERROR(__xludf.DUMMYFUNCTION("IMPORTRANGE(""https://docs.google.com/spreadsheets/d/11923uPwbBZFjjGgGUA6NLw09EwE0CqkOc4q9oUmW1yo/edit?usp=sharing"",""กำแพงเพชร!J149"")"),15)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IFERROR(__xludf.DUMMYFUNCTION("IMPORTRANGE(""https://docs.google.com/spreadsheets/d/11923uPwbBZFjjGgGUA6NLw09EwE0CqkOc4q9oUmW1yo/edit?usp=sharing"",""กำแพงเพชร!I158"")"),0)</f>
        <v>0</v>
      </c>
      <c r="J238" s="266">
        <f ca="1">IFERROR(__xludf.DUMMYFUNCTION("IMPORTRANGE(""https://docs.google.com/spreadsheets/d/11923uPwbBZFjjGgGUA6NLw09EwE0CqkOc4q9oUmW1yo/edit?usp=sharing"",""กำแพงเพชร!J158"")"),0)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IFERROR(__xludf.DUMMYFUNCTION("IMPORTRANGE(""https://docs.google.com/spreadsheets/d/11923uPwbBZFjjGgGUA6NLw09EwE0CqkOc4q9oUmW1yo/edit?usp=sharing"",""กำแพงเพชร!J166"")"),0)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IFERROR(__xludf.DUMMYFUNCTION("IMPORTRANGE(""https://docs.google.com/spreadsheets/d/11923uPwbBZFjjGgGUA6NLw09EwE0CqkOc4q9oUmW1yo/edit?usp=sharing"",""กำแพงเพชร!I169"")"),0)</f>
        <v>0</v>
      </c>
      <c r="J249" s="315">
        <f ca="1">IFERROR(__xludf.DUMMYFUNCTION("IMPORTRANGE(""https://docs.google.com/spreadsheets/d/11923uPwbBZFjjGgGUA6NLw09EwE0CqkOc4q9oUmW1yo/edit?usp=sharing"",""กำแพงเพชร!J169"")"),0)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IFERROR(__xludf.DUMMYFUNCTION("IMPORTRANGE(""https://docs.google.com/spreadsheets/d/11923uPwbBZFjjGgGUA6NLw09EwE0CqkOc4q9oUmW1yo/edit?usp=sharing"",""กำแพงเพชร!J184"")"),0)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IFERROR(__xludf.DUMMYFUNCTION("IMPORTRANGE(""https://docs.google.com/spreadsheets/d/11923uPwbBZFjjGgGUA6NLw09EwE0CqkOc4q9oUmW1yo/edit?usp=sharing"",""กำแพงเพชร!I185"")"),15)</f>
        <v>15</v>
      </c>
      <c r="J270" s="315">
        <f ca="1">IFERROR(__xludf.DUMMYFUNCTION("IMPORTRANGE(""https://docs.google.com/spreadsheets/d/11923uPwbBZFjjGgGUA6NLw09EwE0CqkOc4q9oUmW1yo/edit?usp=sharing"",""กำแพงเพชร!J185"")"),15)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230250</v>
      </c>
      <c r="N271" s="152">
        <f t="shared" ca="1" si="83"/>
        <v>140680</v>
      </c>
      <c r="O271" s="151">
        <f t="shared" ref="O271:O273" ca="1" si="84">IF(L271&gt;0,N271*100/L271,0)</f>
        <v>44.072681704260653</v>
      </c>
      <c r="P271" s="151">
        <f t="shared" ref="P271:P273" ca="1" si="85">IF(M271&gt;0,N271*100/M271,0)</f>
        <v>61.098805646036915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230250</v>
      </c>
      <c r="N273" s="88">
        <f t="shared" ca="1" si="87"/>
        <v>140680</v>
      </c>
      <c r="O273" s="156">
        <f t="shared" ca="1" si="84"/>
        <v>44.072681704260653</v>
      </c>
      <c r="P273" s="156">
        <f t="shared" ca="1" si="85"/>
        <v>61.098805646036915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IFERROR(__xludf.DUMMYFUNCTION("IMPORTRANGE(""https://docs.google.com/spreadsheets/d/1Yj_ptqi66GCucihVvJfMjLAmec39IyEx_6qawtMGysU/edit?usp=sharing"",""สบก!CK20"")"),230250)</f>
        <v>230250</v>
      </c>
      <c r="N275" s="168">
        <f ca="1">IFERROR(__xludf.DUMMYFUNCTION("IMPORTRANGE(""https://docs.google.com/spreadsheets/d/1Yj_ptqi66GCucihVvJfMjLAmec39IyEx_6qawtMGysU/edit?usp=sharing"",""สบก!CL20"")"),140680)</f>
        <v>140680</v>
      </c>
      <c r="O275" s="168">
        <f ca="1">IF(L275&gt;0,N275*100/L275,0)</f>
        <v>44.072681704260653</v>
      </c>
      <c r="P275" s="168">
        <f ca="1">IF(M275&gt;0,N275*100/M275,0)</f>
        <v>61.098805646036915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IFERROR(__xludf.DUMMYFUNCTION("IMPORTRANGE(""https://docs.google.com/spreadsheets/d/11923uPwbBZFjjGgGUA6NLw09EwE0CqkOc4q9oUmW1yo/edit?usp=sharing"",""กำแพงเพชร!I199"")"),0)</f>
        <v>0</v>
      </c>
      <c r="J289" s="315">
        <f ca="1">IFERROR(__xludf.DUMMYFUNCTION("IMPORTRANGE(""https://docs.google.com/spreadsheets/d/11923uPwbBZFjjGgGUA6NLw09EwE0CqkOc4q9oUmW1yo/edit?usp=sharing"",""กำแพงเพชร!J199"")"),0)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IFERROR(__xludf.DUMMYFUNCTION("IMPORTRANGE(""https://docs.google.com/spreadsheets/d/11923uPwbBZFjjGgGUA6NLw09EwE0CqkOc4q9oUmW1yo/edit?usp=sharing"",""กำแพงเพชร!J213"")"),0)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IFERROR(__xludf.DUMMYFUNCTION("IMPORTRANGE(""https://docs.google.com/spreadsheets/d/11923uPwbBZFjjGgGUA6NLw09EwE0CqkOc4q9oUmW1yo/edit?usp=sharing"",""กำแพงเพชร!I214"")"),1)</f>
        <v>1</v>
      </c>
      <c r="J309" s="332">
        <f ca="1">IFERROR(__xludf.DUMMYFUNCTION("IMPORTRANGE(""https://docs.google.com/spreadsheets/d/11923uPwbBZFjjGgGUA6NLw09EwE0CqkOc4q9oUmW1yo/edit?usp=sharing"",""กำแพงเพชร!J214"")"),1)</f>
        <v>1</v>
      </c>
      <c r="K309" s="333">
        <f ca="1">IF(I309&gt;0,J309*100/I309,0)</f>
        <v>100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194600</v>
      </c>
      <c r="M310" s="152">
        <f t="shared" ca="1" si="93"/>
        <v>146000</v>
      </c>
      <c r="N310" s="152">
        <f t="shared" ca="1" si="93"/>
        <v>50664.19</v>
      </c>
      <c r="O310" s="151">
        <f t="shared" ref="O310:O312" ca="1" si="94">IF(L310&gt;0,N310*100/L310,0)</f>
        <v>26.035041109969168</v>
      </c>
      <c r="P310" s="151">
        <f t="shared" ref="P310:P312" ca="1" si="95">IF(M310&gt;0,N310*100/M310,0)</f>
        <v>34.701500000000003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194600</v>
      </c>
      <c r="M312" s="88">
        <f t="shared" ca="1" si="97"/>
        <v>146000</v>
      </c>
      <c r="N312" s="88">
        <f t="shared" ca="1" si="97"/>
        <v>50664.19</v>
      </c>
      <c r="O312" s="156">
        <f t="shared" ca="1" si="94"/>
        <v>26.035041109969168</v>
      </c>
      <c r="P312" s="156">
        <f t="shared" ca="1" si="95"/>
        <v>34.701500000000003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IFERROR(__xludf.DUMMYFUNCTION("IMPORTRANGE(""https://docs.google.com/spreadsheets/d/1Yj_ptqi66GCucihVvJfMjLAmec39IyEx_6qawtMGysU/edit?usp=sharing"",""สบก!DC20"")"),146000)</f>
        <v>146000</v>
      </c>
      <c r="N314" s="168">
        <f ca="1">IFERROR(__xludf.DUMMYFUNCTION("IMPORTRANGE(""https://docs.google.com/spreadsheets/d/1Yj_ptqi66GCucihVvJfMjLAmec39IyEx_6qawtMGysU/edit?usp=sharing"",""สบก!DD20"")"),50664.19)</f>
        <v>50664.19</v>
      </c>
      <c r="O314" s="168">
        <f ca="1">IF(L314&gt;0,N314*100/L314,0)</f>
        <v>26.035041109969168</v>
      </c>
      <c r="P314" s="168">
        <f ca="1">IF(M314&gt;0,N314*100/M314,0)</f>
        <v>34.701500000000003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3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IFERROR(__xludf.DUMMYFUNCTION("IMPORTRANGE(""https://docs.google.com/spreadsheets/d/11923uPwbBZFjjGgGUA6NLw09EwE0CqkOc4q9oUmW1yo/edit?usp=sharing"",""กำแพงเพชร!J226"")"),0)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IFERROR(__xludf.DUMMYFUNCTION("IMPORTRANGE(""https://docs.google.com/spreadsheets/d/11923uPwbBZFjjGgGUA6NLw09EwE0CqkOc4q9oUmW1yo/edit?usp=sharing"",""กำแพงเพชร!I228"")"),943)</f>
        <v>943</v>
      </c>
      <c r="J328" s="338">
        <f ca="1">IFERROR(__xludf.DUMMYFUNCTION("IMPORTRANGE(""https://docs.google.com/spreadsheets/d/11923uPwbBZFjjGgGUA6NLw09EwE0CqkOc4q9oUmW1yo/edit?usp=sharing"",""กำแพงเพชร!J228"")"),31)</f>
        <v>31</v>
      </c>
      <c r="K328" s="316">
        <f ca="1">IF(I328&gt;0,J328*100/I328,0)</f>
        <v>3.2873806998939554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1961030</v>
      </c>
      <c r="M329" s="152">
        <f t="shared" ca="1" si="98"/>
        <v>1524700</v>
      </c>
      <c r="N329" s="152">
        <f t="shared" ca="1" si="98"/>
        <v>853523.69</v>
      </c>
      <c r="O329" s="151">
        <f t="shared" ref="O329:O331" ca="1" si="99">IF(L329&gt;0,N329*100/L329,0)</f>
        <v>43.524254600898509</v>
      </c>
      <c r="P329" s="151">
        <f t="shared" ref="P329:P331" ca="1" si="100">IF(M329&gt;0,N329*100/M329,0)</f>
        <v>55.979778972912705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1961030</v>
      </c>
      <c r="M331" s="88">
        <f t="shared" ca="1" si="102"/>
        <v>1524700</v>
      </c>
      <c r="N331" s="88">
        <f t="shared" ca="1" si="102"/>
        <v>853523.69</v>
      </c>
      <c r="O331" s="156">
        <f t="shared" ca="1" si="99"/>
        <v>43.524254600898509</v>
      </c>
      <c r="P331" s="156">
        <f t="shared" ca="1" si="100"/>
        <v>55.979778972912705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1961030</v>
      </c>
      <c r="M333" s="167">
        <f ca="1">IFERROR(__xludf.DUMMYFUNCTION("IMPORTRANGE(""https://docs.google.com/spreadsheets/d/1Yj_ptqi66GCucihVvJfMjLAmec39IyEx_6qawtMGysU/edit?usp=sharing"",""สบก!DL20"")"),1524700)</f>
        <v>1524700</v>
      </c>
      <c r="N333" s="168">
        <f ca="1">IFERROR(__xludf.DUMMYFUNCTION("IMPORTRANGE(""https://docs.google.com/spreadsheets/d/1Yj_ptqi66GCucihVvJfMjLAmec39IyEx_6qawtMGysU/edit?usp=sharing"",""สบก!DM20"")"),853523.69)</f>
        <v>853523.69</v>
      </c>
      <c r="O333" s="168">
        <f ca="1">IF(L333&gt;0,N333*100/L333,0)</f>
        <v>43.524254600898509</v>
      </c>
      <c r="P333" s="168">
        <f ca="1">IF(M333&gt;0,N333*100/M333,0)</f>
        <v>55.979778972912705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IFERROR(__xludf.DUMMYFUNCTION("IMPORTRANGE(""https://docs.google.com/spreadsheets/d/1Yj_ptqi66GCucihVvJfMjLAmec39IyEx_6qawtMGysU/edit?usp=sharing"",""สบก!DI20"")"),1353930)</f>
        <v>1353930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IFERROR(__xludf.DUMMYFUNCTION("IMPORTRANGE(""https://docs.google.com/spreadsheets/d/11923uPwbBZFjjGgGUA6NLw09EwE0CqkOc4q9oUmW1yo/edit?usp=sharing"",""กำแพงเพชร!J234"")"),208)</f>
        <v>208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IFERROR(__xludf.DUMMYFUNCTION("IMPORTRANGE(""https://docs.google.com/spreadsheets/d/11923uPwbBZFjjGgGUA6NLw09EwE0CqkOc4q9oUmW1yo/edit?usp=sharing"",""กำแพงเพชร!J235"")"),1875.87999999999)</f>
        <v>1875.8799999999901</v>
      </c>
      <c r="K340" s="341">
        <f t="shared" ca="1" si="103"/>
        <v>22.331904761904646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IFERROR(__xludf.DUMMYFUNCTION("IMPORTRANGE(""https://docs.google.com/spreadsheets/d/11923uPwbBZFjjGgGUA6NLw09EwE0CqkOc4q9oUmW1yo/edit?usp=sharing"",""กำแพงเพชร!I236"")"),943)</f>
        <v>943</v>
      </c>
      <c r="J341" s="187">
        <f ca="1">IFERROR(__xludf.DUMMYFUNCTION("IMPORTRANGE(""https://docs.google.com/spreadsheets/d/11923uPwbBZFjjGgGUA6NLw09EwE0CqkOc4q9oUmW1yo/edit?usp=sharing"",""กำแพงเพชร!J236"")"),114)</f>
        <v>114</v>
      </c>
      <c r="K341" s="341">
        <f t="shared" ca="1" si="103"/>
        <v>12.089077412513255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IFERROR(__xludf.DUMMYFUNCTION("IMPORTRANGE(""https://docs.google.com/spreadsheets/d/11923uPwbBZFjjGgGUA6NLw09EwE0CqkOc4q9oUmW1yo/edit?usp=sharing"",""กำแพงเพชร!J237"")"),1766.09)</f>
        <v>1766.09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IFERROR(__xludf.DUMMYFUNCTION("IMPORTRANGE(""https://docs.google.com/spreadsheets/d/11923uPwbBZFjjGgGUA6NLw09EwE0CqkOc4q9oUmW1yo/edit?usp=sharing"",""กำแพงเพชร!I238"")"),943)</f>
        <v>943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IFERROR(__xludf.DUMMYFUNCTION("IMPORTRANGE(""https://docs.google.com/spreadsheets/d/11923uPwbBZFjjGgGUA6NLw09EwE0CqkOc4q9oUmW1yo/edit?usp=sharing"",""กำแพงเพชร!I240"")"),943)</f>
        <v>943</v>
      </c>
      <c r="J345" s="187">
        <f ca="1">IFERROR(__xludf.DUMMYFUNCTION("IMPORTRANGE(""https://docs.google.com/spreadsheets/d/11923uPwbBZFjjGgGUA6NLw09EwE0CqkOc4q9oUmW1yo/edit?usp=sharing"",""กำแพงเพชร!J240"")"),31)</f>
        <v>31</v>
      </c>
      <c r="K345" s="341">
        <f t="shared" ca="1" si="103"/>
        <v>3.2873806998939554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IFERROR(__xludf.DUMMYFUNCTION("IMPORTRANGE(""https://docs.google.com/spreadsheets/d/11923uPwbBZFjjGgGUA6NLw09EwE0CqkOc4q9oUmW1yo/edit?usp=sharing"",""กำแพงเพชร!J241"")"),552.84)</f>
        <v>552.84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IFERROR(__xludf.DUMMYFUNCTION("IMPORTRANGE(""https://docs.google.com/spreadsheets/d/11923uPwbBZFjjGgGUA6NLw09EwE0CqkOc4q9oUmW1yo/edit?usp=sharing"",""กำแพงเพชร!L242"")"),3368836.33)</f>
        <v>3368836.33</v>
      </c>
      <c r="M347" s="357"/>
      <c r="N347" s="357">
        <f ca="1">IFERROR(__xludf.DUMMYFUNCTION("IMPORTRANGE(""https://docs.google.com/spreadsheets/d/11923uPwbBZFjjGgGUA6NLw09EwE0CqkOc4q9oUmW1yo/edit?usp=sharing"",""กำแพงเพชร!M242"")"),660424.45)</f>
        <v>660424.44999999995</v>
      </c>
      <c r="O347" s="357">
        <f ca="1">+IF(L347&gt;0,N347*100/L347,0)</f>
        <v>19.60393397918503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IFERROR(__xludf.DUMMYFUNCTION("IMPORTRANGE(""https://docs.google.com/spreadsheets/d/11923uPwbBZFjjGgGUA6NLw09EwE0CqkOc4q9oUmW1yo/edit?usp=sharing"",""กำแพงเพชร!M275"")"),185689)</f>
        <v>185689</v>
      </c>
      <c r="O380" s="372">
        <f ca="1">+IF(L380&gt;0,N380*100/L380,0)</f>
        <v>18.053999922218335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IFERROR(__xludf.DUMMYFUNCTION("IMPORTRANGE(""https://docs.google.com/spreadsheets/d/11923uPwbBZFjjGgGUA6NLw09EwE0CqkOc4q9oUmW1yo/edit?usp=sharing"",""กำแพงเพชร!M278"")"),185689)</f>
        <v>185689</v>
      </c>
      <c r="O383" s="165">
        <f t="shared" ca="1" si="109"/>
        <v>18.053999922218335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IFERROR(__xludf.DUMMYFUNCTION("IMPORTRANGE(""https://docs.google.com/spreadsheets/d/11923uPwbBZFjjGgGUA6NLw09EwE0CqkOc4q9oUmW1yo/edit?usp=sharing"",""กำแพงเพชร!M280"")"),185689)</f>
        <v>185689</v>
      </c>
      <c r="O385" s="168">
        <f t="shared" ca="1" si="109"/>
        <v>18.053999922218335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IFERROR(__xludf.DUMMYFUNCTION("IMPORTRANGE(""https://docs.google.com/spreadsheets/d/11923uPwbBZFjjGgGUA6NLw09EwE0CqkOc4q9oUmW1yo/edit?usp=sharing"",""กำแพงเพชร!M281"")"),139132)</f>
        <v>139132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IFERROR(__xludf.DUMMYFUNCTION("IMPORTRANGE(""https://docs.google.com/spreadsheets/d/11923uPwbBZFjjGgGUA6NLw09EwE0CqkOc4q9oUmW1yo/edit?usp=sharing"",""กำแพงเพชร!M283"")"),43607)</f>
        <v>43607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IFERROR(__xludf.DUMMYFUNCTION("IMPORTRANGE(""https://docs.google.com/spreadsheets/d/11923uPwbBZFjjGgGUA6NLw09EwE0CqkOc4q9oUmW1yo/edit?usp=sharing"",""กำแพงเพชร!M284"")"),2950)</f>
        <v>2950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IFERROR(__xludf.DUMMYFUNCTION("IMPORTRANGE(""https://docs.google.com/spreadsheets/d/11923uPwbBZFjjGgGUA6NLw09EwE0CqkOc4q9oUmW1yo/edit?usp=sharing"",""กำแพงเพชร!J296"")"),105)</f>
        <v>105</v>
      </c>
      <c r="K401" s="371">
        <f t="shared" ref="K401:K402" ca="1" si="111">IF(I401&gt;0,J401*100/I401,0)</f>
        <v>77.777777777777771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IFERROR(__xludf.DUMMYFUNCTION("IMPORTRANGE(""https://docs.google.com/spreadsheets/d/11923uPwbBZFjjGgGUA6NLw09EwE0CqkOc4q9oUmW1yo/edit?usp=sharing"",""กำแพงเพชร!M296"")"),95343)</f>
        <v>95343</v>
      </c>
      <c r="O401" s="372">
        <f ca="1">+IF(L401&gt;0,N401*100/L401,0)</f>
        <v>59.608002500781495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IFERROR(__xludf.DUMMYFUNCTION("IMPORTRANGE(""https://docs.google.com/spreadsheets/d/11923uPwbBZFjjGgGUA6NLw09EwE0CqkOc4q9oUmW1yo/edit?usp=sharing"",""กำแพงเพชร!J297"")"),35)</f>
        <v>35</v>
      </c>
      <c r="K402" s="371">
        <f t="shared" ca="1" si="111"/>
        <v>77.777777777777771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IFERROR(__xludf.DUMMYFUNCTION("IMPORTRANGE(""https://docs.google.com/spreadsheets/d/11923uPwbBZFjjGgGUA6NLw09EwE0CqkOc4q9oUmW1yo/edit?usp=sharing"",""กำแพงเพชร!M299"")"),95343)</f>
        <v>95343</v>
      </c>
      <c r="O404" s="168">
        <f t="shared" ca="1" si="112"/>
        <v>59.608002500781495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IFERROR(__xludf.DUMMYFUNCTION("IMPORTRANGE(""https://docs.google.com/spreadsheets/d/11923uPwbBZFjjGgGUA6NLw09EwE0CqkOc4q9oUmW1yo/edit?usp=sharing"",""กำแพงเพชร!M301"")"),95343)</f>
        <v>95343</v>
      </c>
      <c r="O406" s="168">
        <f t="shared" ca="1" si="112"/>
        <v>59.608002500781495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IFERROR(__xludf.DUMMYFUNCTION("IMPORTRANGE(""https://docs.google.com/spreadsheets/d/11923uPwbBZFjjGgGUA6NLw09EwE0CqkOc4q9oUmW1yo/edit?usp=sharing"",""กำแพงเพชร!M302"")"),66573)</f>
        <v>66573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IFERROR(__xludf.DUMMYFUNCTION("IMPORTRANGE(""https://docs.google.com/spreadsheets/d/11923uPwbBZFjjGgGUA6NLw09EwE0CqkOc4q9oUmW1yo/edit?usp=sharing"",""กำแพงเพชร!M303"")"),17500)</f>
        <v>17500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IFERROR(__xludf.DUMMYFUNCTION("IMPORTRANGE(""https://docs.google.com/spreadsheets/d/11923uPwbBZFjjGgGUA6NLw09EwE0CqkOc4q9oUmW1yo/edit?usp=sharing"",""กำแพงเพชร!M305"")"),11270)</f>
        <v>11270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IFERROR(__xludf.DUMMYFUNCTION("IMPORTRANGE(""https://docs.google.com/spreadsheets/d/11923uPwbBZFjjGgGUA6NLw09EwE0CqkOc4q9oUmW1yo/edit?usp=sharing"",""กำแพงเพชร!M330"")"),100699)</f>
        <v>100699</v>
      </c>
      <c r="O435" s="411">
        <f t="shared" ref="O435:O439" ca="1" si="114">+IF(L435&gt;0,N435*100/L435,0)</f>
        <v>72.133954154727789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IFERROR(__xludf.DUMMYFUNCTION("IMPORTRANGE(""https://docs.google.com/spreadsheets/d/11923uPwbBZFjjGgGUA6NLw09EwE0CqkOc4q9oUmW1yo/edit?usp=sharing"",""กำแพงเพชร!M332"")"),100699)</f>
        <v>100699</v>
      </c>
      <c r="O437" s="168">
        <f t="shared" ca="1" si="114"/>
        <v>72.133954154727789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IFERROR(__xludf.DUMMYFUNCTION("IMPORTRANGE(""https://docs.google.com/spreadsheets/d/11923uPwbBZFjjGgGUA6NLw09EwE0CqkOc4q9oUmW1yo/edit?usp=sharing"",""กำแพงเพชร!M334"")"),100699)</f>
        <v>100699</v>
      </c>
      <c r="O439" s="168">
        <f t="shared" ca="1" si="114"/>
        <v>72.133954154727789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IFERROR(__xludf.DUMMYFUNCTION("IMPORTRANGE(""https://docs.google.com/spreadsheets/d/11923uPwbBZFjjGgGUA6NLw09EwE0CqkOc4q9oUmW1yo/edit?usp=sharing"",""กำแพงเพชร!M335"")"),83359)</f>
        <v>83359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IFERROR(__xludf.DUMMYFUNCTION("IMPORTRANGE(""https://docs.google.com/spreadsheets/d/11923uPwbBZFjjGgGUA6NLw09EwE0CqkOc4q9oUmW1yo/edit?usp=sharing"",""กำแพงเพชร!M338"")"),17340)</f>
        <v>17340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IFERROR(__xludf.DUMMYFUNCTION("IMPORTRANGE(""https://docs.google.com/spreadsheets/d/11923uPwbBZFjjGgGUA6NLw09EwE0CqkOc4q9oUmW1yo/edit?usp=sharing"",""กำแพงเพชร!L350"")"),1114166.33)</f>
        <v>1114166.33</v>
      </c>
      <c r="M455" s="372"/>
      <c r="N455" s="372">
        <f ca="1">IFERROR(__xludf.DUMMYFUNCTION("IMPORTRANGE(""https://docs.google.com/spreadsheets/d/11923uPwbBZFjjGgGUA6NLw09EwE0CqkOc4q9oUmW1yo/edit?usp=sharing"",""กำแพงเพชร!M350"")"),76443.67)</f>
        <v>76443.67</v>
      </c>
      <c r="O455" s="372">
        <f t="shared" ref="O455:O459" ca="1" si="116">+IF(L455&gt;0,N455*100/L455,0)</f>
        <v>6.8610644516604617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IFERROR(__xludf.DUMMYFUNCTION("IMPORTRANGE(""https://docs.google.com/spreadsheets/d/11923uPwbBZFjjGgGUA6NLw09EwE0CqkOc4q9oUmW1yo/edit?usp=sharing"",""กำแพงเพชร!L352"")"),1114166.33)</f>
        <v>1114166.33</v>
      </c>
      <c r="M457" s="165"/>
      <c r="N457" s="168">
        <f ca="1">IFERROR(__xludf.DUMMYFUNCTION("IMPORTRANGE(""https://docs.google.com/spreadsheets/d/11923uPwbBZFjjGgGUA6NLw09EwE0CqkOc4q9oUmW1yo/edit?usp=sharing"",""กำแพงเพชร!M352"")"),76443.67)</f>
        <v>76443.67</v>
      </c>
      <c r="O457" s="168">
        <f t="shared" ca="1" si="116"/>
        <v>6.8610644516604617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IFERROR(__xludf.DUMMYFUNCTION("IMPORTRANGE(""https://docs.google.com/spreadsheets/d/11923uPwbBZFjjGgGUA6NLw09EwE0CqkOc4q9oUmW1yo/edit?usp=sharing"",""กำแพงเพชร!L354"")"),1114166.33)</f>
        <v>1114166.33</v>
      </c>
      <c r="M459" s="168"/>
      <c r="N459" s="168">
        <f ca="1">IFERROR(__xludf.DUMMYFUNCTION("IMPORTRANGE(""https://docs.google.com/spreadsheets/d/11923uPwbBZFjjGgGUA6NLw09EwE0CqkOc4q9oUmW1yo/edit?usp=sharing"",""กำแพงเพชร!M354"")"),76443.67)</f>
        <v>76443.67</v>
      </c>
      <c r="O459" s="168">
        <f t="shared" ca="1" si="116"/>
        <v>6.8610644516604617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IFERROR(__xludf.DUMMYFUNCTION("IMPORTRANGE(""https://docs.google.com/spreadsheets/d/11923uPwbBZFjjGgGUA6NLw09EwE0CqkOc4q9oUmW1yo/edit?usp=sharing"",""กำแพงเพชร!M357"")"),43266.67)</f>
        <v>43266.67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IFERROR(__xludf.DUMMYFUNCTION("IMPORTRANGE(""https://docs.google.com/spreadsheets/d/11923uPwbBZFjjGgGUA6NLw09EwE0CqkOc4q9oUmW1yo/edit?usp=sharing"",""กำแพงเพชร!M358"")"),33177)</f>
        <v>33177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IFERROR(__xludf.DUMMYFUNCTION("IMPORTRANGE(""https://docs.google.com/spreadsheets/d/11923uPwbBZFjjGgGUA6NLw09EwE0CqkOc4q9oUmW1yo/edit?usp=sharing"",""กำแพงเพชร!I359"")"),162754)</f>
        <v>162754</v>
      </c>
      <c r="J464" s="266">
        <f ca="1">IFERROR(__xludf.DUMMYFUNCTION("IMPORTRANGE(""https://docs.google.com/spreadsheets/d/11923uPwbBZFjjGgGUA6NLw09EwE0CqkOc4q9oUmW1yo/edit?usp=sharing"",""กำแพงเพชร!J359"")"),0)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IFERROR(__xludf.DUMMYFUNCTION("IMPORTRANGE(""https://docs.google.com/spreadsheets/d/11923uPwbBZFjjGgGUA6NLw09EwE0CqkOc4q9oUmW1yo/edit?usp=sharing"",""กำแพงเพชร!J364"")"),39441)</f>
        <v>39441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IFERROR(__xludf.DUMMYFUNCTION("IMPORTRANGE(""https://docs.google.com/spreadsheets/d/11923uPwbBZFjjGgGUA6NLw09EwE0CqkOc4q9oUmW1yo/edit?usp=sharing"",""กำแพงเพชร!I411"")"),0)</f>
        <v>0</v>
      </c>
      <c r="J516" s="266">
        <f ca="1">IFERROR(__xludf.DUMMYFUNCTION("IMPORTRANGE(""https://docs.google.com/spreadsheets/d/11923uPwbBZFjjGgGUA6NLw09EwE0CqkOc4q9oUmW1yo/edit?usp=sharing"",""กำแพงเพชร!J411"")"),0)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IFERROR(__xludf.DUMMYFUNCTION("IMPORTRANGE(""https://docs.google.com/spreadsheets/d/11923uPwbBZFjjGgGUA6NLw09EwE0CqkOc4q9oUmW1yo/edit?usp=sharing"",""กำแพงเพชร!I412"")"),0)</f>
        <v>0</v>
      </c>
      <c r="J517" s="283">
        <f ca="1">IFERROR(__xludf.DUMMYFUNCTION("IMPORTRANGE(""https://docs.google.com/spreadsheets/d/11923uPwbBZFjjGgGUA6NLw09EwE0CqkOc4q9oUmW1yo/edit?usp=sharing"",""กำแพงเพชร!J412"")"),0)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IFERROR(__xludf.DUMMYFUNCTION("IMPORTRANGE(""https://docs.google.com/spreadsheets/d/11923uPwbBZFjjGgGUA6NLw09EwE0CqkOc4q9oUmW1yo/edit?usp=sharing"",""กำแพงเพชร!I413"")"),0)</f>
        <v>0</v>
      </c>
      <c r="J518" s="283">
        <f ca="1">IFERROR(__xludf.DUMMYFUNCTION("IMPORTRANGE(""https://docs.google.com/spreadsheets/d/11923uPwbBZFjjGgGUA6NLw09EwE0CqkOc4q9oUmW1yo/edit?usp=sharing"",""กำแพงเพชร!J413"")"),0)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IFERROR(__xludf.DUMMYFUNCTION("IMPORTRANGE(""https://docs.google.com/spreadsheets/d/11923uPwbBZFjjGgGUA6NLw09EwE0CqkOc4q9oUmW1yo/edit?usp=sharing"",""กำแพงเพชร!I420"")"),2168)</f>
        <v>2168</v>
      </c>
      <c r="J525" s="283">
        <f ca="1">IFERROR(__xludf.DUMMYFUNCTION("IMPORTRANGE(""https://docs.google.com/spreadsheets/d/11923uPwbBZFjjGgGUA6NLw09EwE0CqkOc4q9oUmW1yo/edit?usp=sharing"",""กำแพงเพชร!J420"")"),0)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IFERROR(__xludf.DUMMYFUNCTION("IMPORTRANGE(""https://docs.google.com/spreadsheets/d/11923uPwbBZFjjGgGUA6NLw09EwE0CqkOc4q9oUmW1yo/edit?usp=sharing"",""กำแพงเพชร!I421"")"),106)</f>
        <v>106</v>
      </c>
      <c r="J526" s="283">
        <f ca="1">IFERROR(__xludf.DUMMYFUNCTION("IMPORTRANGE(""https://docs.google.com/spreadsheets/d/11923uPwbBZFjjGgGUA6NLw09EwE0CqkOc4q9oUmW1yo/edit?usp=sharing"",""กำแพงเพชร!J421"")"),0)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IFERROR(__xludf.DUMMYFUNCTION("IMPORTRANGE(""https://docs.google.com/spreadsheets/d/11923uPwbBZFjjGgGUA6NLw09EwE0CqkOc4q9oUmW1yo/edit?usp=sharing"",""กำแพงเพชร!M428"")"),29825)</f>
        <v>29825</v>
      </c>
      <c r="O533" s="411">
        <f t="shared" ref="O533:O537" ca="1" si="118">+IF(L533&gt;0,N533*100/L533,0)</f>
        <v>86.826783114992722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IFERROR(__xludf.DUMMYFUNCTION("IMPORTRANGE(""https://docs.google.com/spreadsheets/d/11923uPwbBZFjjGgGUA6NLw09EwE0CqkOc4q9oUmW1yo/edit?usp=sharing"",""กำแพงเพชร!M430"")"),29825)</f>
        <v>29825</v>
      </c>
      <c r="O535" s="168">
        <f t="shared" ca="1" si="118"/>
        <v>86.826783114992722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IFERROR(__xludf.DUMMYFUNCTION("IMPORTRANGE(""https://docs.google.com/spreadsheets/d/11923uPwbBZFjjGgGUA6NLw09EwE0CqkOc4q9oUmW1yo/edit?usp=sharing"",""กำแพงเพชร!M432"")"),29825)</f>
        <v>29825</v>
      </c>
      <c r="O537" s="168">
        <f t="shared" ca="1" si="118"/>
        <v>86.826783114992722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IFERROR(__xludf.DUMMYFUNCTION("IMPORTRANGE(""https://docs.google.com/spreadsheets/d/11923uPwbBZFjjGgGUA6NLw09EwE0CqkOc4q9oUmW1yo/edit?usp=sharing"",""กำแพงเพชร!M436"")"),9665)</f>
        <v>9665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IFERROR(__xludf.DUMMYFUNCTION("IMPORTRANGE(""https://docs.google.com/spreadsheets/d/11923uPwbBZFjjGgGUA6NLw09EwE0CqkOc4q9oUmW1yo/edit?usp=sharing"",""กำแพงเพชร!J446"")"),3227)</f>
        <v>3227</v>
      </c>
      <c r="K551" s="410">
        <f ca="1">IF(I551&gt;0,J551*100/I551,0)</f>
        <v>64.540000000000006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IFERROR(__xludf.DUMMYFUNCTION("IMPORTRANGE(""https://docs.google.com/spreadsheets/d/11923uPwbBZFjjGgGUA6NLw09EwE0CqkOc4q9oUmW1yo/edit?usp=sharing"",""กำแพงเพชร!M446"")"),118260.65)</f>
        <v>118260.65</v>
      </c>
      <c r="O551" s="411">
        <f t="shared" ref="O551:O555" ca="1" si="120">+IF(L551&gt;0,N551*100/L551,0)</f>
        <v>36.956453125000003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IFERROR(__xludf.DUMMYFUNCTION("IMPORTRANGE(""https://docs.google.com/spreadsheets/d/11923uPwbBZFjjGgGUA6NLw09EwE0CqkOc4q9oUmW1yo/edit?usp=sharing"",""กำแพงเพชร!M448"")"),118260.65)</f>
        <v>118260.65</v>
      </c>
      <c r="O553" s="168">
        <f t="shared" ca="1" si="120"/>
        <v>36.956453125000003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IFERROR(__xludf.DUMMYFUNCTION("IMPORTRANGE(""https://docs.google.com/spreadsheets/d/11923uPwbBZFjjGgGUA6NLw09EwE0CqkOc4q9oUmW1yo/edit?usp=sharing"",""กำแพงเพชร!M450"")"),118260.65)</f>
        <v>118260.65</v>
      </c>
      <c r="O555" s="168">
        <f t="shared" ca="1" si="120"/>
        <v>36.956453125000003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IFERROR(__xludf.DUMMYFUNCTION("IMPORTRANGE(""https://docs.google.com/spreadsheets/d/11923uPwbBZFjjGgGUA6NLw09EwE0CqkOc4q9oUmW1yo/edit?usp=sharing"",""กำแพงเพชร!M453"")"),26400)</f>
        <v>26400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IFERROR(__xludf.DUMMYFUNCTION("IMPORTRANGE(""https://docs.google.com/spreadsheets/d/11923uPwbBZFjjGgGUA6NLw09EwE0CqkOc4q9oUmW1yo/edit?usp=sharing"",""กำแพงเพชร!M454"")"),91860.65)</f>
        <v>91860.65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IFERROR(__xludf.DUMMYFUNCTION("IMPORTRANGE(""https://docs.google.com/spreadsheets/d/11923uPwbBZFjjGgGUA6NLw09EwE0CqkOc4q9oUmW1yo/edit?usp=sharing"",""กำแพงเพชร!J455"")"),3227)</f>
        <v>3227</v>
      </c>
      <c r="K560" s="223">
        <f t="shared" ref="K560:K561" ca="1" si="121">IF(I560&gt;0,J560*100/I560,0)</f>
        <v>64.540000000000006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IFERROR(__xludf.DUMMYFUNCTION("IMPORTRANGE(""https://docs.google.com/spreadsheets/d/11923uPwbBZFjjGgGUA6NLw09EwE0CqkOc4q9oUmW1yo/edit?usp=sharing"",""กำแพงเพชร!J456"")"),235)</f>
        <v>235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IFERROR(__xludf.DUMMYFUNCTION("IMPORTRANGE(""https://docs.google.com/spreadsheets/d/11923uPwbBZFjjGgGUA6NLw09EwE0CqkOc4q9oUmW1yo/edit?usp=sharing"",""กำแพงเพชร!J459"")"),2353)</f>
        <v>2353</v>
      </c>
      <c r="K564" s="371">
        <f ca="1">IF(I564&gt;0,J564*100/I564,0)</f>
        <v>48.020408163265309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IFERROR(__xludf.DUMMYFUNCTION("IMPORTRANGE(""https://docs.google.com/spreadsheets/d/11923uPwbBZFjjGgGUA6NLw09EwE0CqkOc4q9oUmW1yo/edit?usp=sharing"",""กำแพงเพชร!M459"")"),52964.13)</f>
        <v>52964.13</v>
      </c>
      <c r="O564" s="372">
        <f t="shared" ref="O564:O568" ca="1" si="122">+IF(L564&gt;0,N564*100/L564,0)</f>
        <v>31.526267857142859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IFERROR(__xludf.DUMMYFUNCTION("IMPORTRANGE(""https://docs.google.com/spreadsheets/d/11923uPwbBZFjjGgGUA6NLw09EwE0CqkOc4q9oUmW1yo/edit?usp=sharing"",""กำแพงเพชร!M461"")"),52964.13)</f>
        <v>52964.13</v>
      </c>
      <c r="O566" s="168">
        <f t="shared" ca="1" si="122"/>
        <v>31.526267857142859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IFERROR(__xludf.DUMMYFUNCTION("IMPORTRANGE(""https://docs.google.com/spreadsheets/d/11923uPwbBZFjjGgGUA6NLw09EwE0CqkOc4q9oUmW1yo/edit?usp=sharing"",""กำแพงเพชร!M463"")"),52964.13)</f>
        <v>52964.13</v>
      </c>
      <c r="O568" s="168">
        <f t="shared" ca="1" si="122"/>
        <v>31.526267857142859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IFERROR(__xludf.DUMMYFUNCTION("IMPORTRANGE(""https://docs.google.com/spreadsheets/d/11923uPwbBZFjjGgGUA6NLw09EwE0CqkOc4q9oUmW1yo/edit?usp=sharing"",""กำแพงเพชร!M466"")"),40000)</f>
        <v>40000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IFERROR(__xludf.DUMMYFUNCTION("IMPORTRANGE(""https://docs.google.com/spreadsheets/d/11923uPwbBZFjjGgGUA6NLw09EwE0CqkOc4q9oUmW1yo/edit?usp=sharing"",""กำแพงเพชร!M467"")"),12964.13)</f>
        <v>12964.13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IFERROR(__xludf.DUMMYFUNCTION("IMPORTRANGE(""https://docs.google.com/spreadsheets/d/11923uPwbBZFjjGgGUA6NLw09EwE0CqkOc4q9oUmW1yo/edit?usp=sharing"",""กำแพงเพชร!J468"")"),2353)</f>
        <v>2353</v>
      </c>
      <c r="K573" s="201">
        <f ca="1">IF(I573&gt;0,J573*100/I573,0)</f>
        <v>48.020408163265309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IFERROR(__xludf.DUMMYFUNCTION("IMPORTRANGE(""https://docs.google.com/spreadsheets/d/11923uPwbBZFjjGgGUA6NLw09EwE0CqkOc4q9oUmW1yo/edit?usp=sharing"",""กำแพงเพชร!J471"")"),83)</f>
        <v>83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IFERROR(__xludf.DUMMYFUNCTION("IMPORTRANGE(""https://docs.google.com/spreadsheets/d/11923uPwbBZFjjGgGUA6NLw09EwE0CqkOc4q9oUmW1yo/edit?usp=sharing"",""กำแพงเพชร!J472"")"),2270)</f>
        <v>2270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IFERROR(__xludf.DUMMYFUNCTION("IMPORTRANGE(""https://docs.google.com/spreadsheets/d/11923uPwbBZFjjGgGUA6NLw09EwE0CqkOc4q9oUmW1yo/edit?usp=sharing"",""กำแพงเพชร!I475"")"),500)</f>
        <v>500</v>
      </c>
      <c r="J580" s="370">
        <f ca="1">IFERROR(__xludf.DUMMYFUNCTION("IMPORTRANGE(""https://docs.google.com/spreadsheets/d/11923uPwbBZFjjGgGUA6NLw09EwE0CqkOc4q9oUmW1yo/edit?usp=sharing"",""กำแพงเพชร!J475"")"),0)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IFERROR(__xludf.DUMMYFUNCTION("IMPORTRANGE(""https://docs.google.com/spreadsheets/d/11923uPwbBZFjjGgGUA6NLw09EwE0CqkOc4q9oUmW1yo/edit?usp=sharing"",""กำแพงเพชร!I484"")"),500)</f>
        <v>500</v>
      </c>
      <c r="J589" s="187">
        <f ca="1">IFERROR(__xludf.DUMMYFUNCTION("IMPORTRANGE(""https://docs.google.com/spreadsheets/d/11923uPwbBZFjjGgGUA6NLw09EwE0CqkOc4q9oUmW1yo/edit?usp=sharing"",""กำแพงเพชร!J484"")"),26)</f>
        <v>26</v>
      </c>
      <c r="K589" s="163">
        <f t="shared" ref="K589:K596" ca="1" si="125">IF(I589&gt;0,J589*100/I589,0)</f>
        <v>5.2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IFERROR(__xludf.DUMMYFUNCTION("IMPORTRANGE(""https://docs.google.com/spreadsheets/d/11923uPwbBZFjjGgGUA6NLw09EwE0CqkOc4q9oUmW1yo/edit?usp=sharing"",""กำแพงเพชร!J485"")"),34.53)</f>
        <v>34.53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IFERROR(__xludf.DUMMYFUNCTION("IMPORTRANGE(""https://docs.google.com/spreadsheets/d/11923uPwbBZFjjGgGUA6NLw09EwE0CqkOc4q9oUmW1yo/edit?usp=sharing"",""กำแพงเพชร!I486"")"),500)</f>
        <v>500</v>
      </c>
      <c r="J591" s="187">
        <f ca="1">IFERROR(__xludf.DUMMYFUNCTION("IMPORTRANGE(""https://docs.google.com/spreadsheets/d/11923uPwbBZFjjGgGUA6NLw09EwE0CqkOc4q9oUmW1yo/edit?usp=sharing"",""กำแพงเพชร!J486"")"),0)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IFERROR(__xludf.DUMMYFUNCTION("IMPORTRANGE(""https://docs.google.com/spreadsheets/d/11923uPwbBZFjjGgGUA6NLw09EwE0CqkOc4q9oUmW1yo/edit?usp=sharing"",""กำแพงเพชร!I488"")"),500)</f>
        <v>500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IFERROR(__xludf.DUMMYFUNCTION("IMPORTRANGE(""https://docs.google.com/spreadsheets/d/11923uPwbBZFjjGgGUA6NLw09EwE0CqkOc4q9oUmW1yo/edit?usp=sharing"",""กำแพงเพชร!I490"")"),500)</f>
        <v>500</v>
      </c>
      <c r="J595" s="187">
        <f ca="1">IFERROR(__xludf.DUMMYFUNCTION("IMPORTRANGE(""https://docs.google.com/spreadsheets/d/11923uPwbBZFjjGgGUA6NLw09EwE0CqkOc4q9oUmW1yo/edit?usp=sharing"",""กำแพงเพชร!J490"")"),0)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IFERROR(__xludf.DUMMYFUNCTION("IMPORTRANGE(""https://docs.google.com/spreadsheets/d/11923uPwbBZFjjGgGUA6NLw09EwE0CqkOc4q9oUmW1yo/edit?usp=sharing"",""กำแพงเพชร!I491"")"),0)</f>
        <v>0</v>
      </c>
      <c r="J596" s="240">
        <f ca="1">IFERROR(__xludf.DUMMYFUNCTION("IMPORTRANGE(""https://docs.google.com/spreadsheets/d/11923uPwbBZFjjGgGUA6NLw09EwE0CqkOc4q9oUmW1yo/edit?usp=sharing"",""กำแพงเพชร!J491"")"),0)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7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IFERROR(__xludf.DUMMYFUNCTION("IMPORTRANGE(""https://docs.google.com/spreadsheets/d/11923uPwbBZFjjGgGUA6NLw09EwE0CqkOc4q9oUmW1yo/edit?usp=sharing"",""กำแพงเพชร!L492"")"),8900)</f>
        <v>8900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13.48314606741573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IFERROR(__xludf.DUMMYFUNCTION("IMPORTRANGE(""https://docs.google.com/spreadsheets/d/11923uPwbBZFjjGgGUA6NLw09EwE0CqkOc4q9oUmW1yo/edit?usp=sharing"",""กำแพงเพชร!I523"")"),5000000)</f>
        <v>5000000</v>
      </c>
      <c r="J628" s="340">
        <f ca="1">IFERROR(__xludf.DUMMYFUNCTION("IMPORTRANGE(""https://docs.google.com/spreadsheets/d/11923uPwbBZFjjGgGUA6NLw09EwE0CqkOc4q9oUmW1yo/edit?usp=sharing"",""กำแพงเพชร!J523"")"),510000)</f>
        <v>510000</v>
      </c>
      <c r="K628" s="341">
        <f t="shared" ref="K628:K635" ca="1" si="129">IF(I628&gt;0,J628*100/I628,0)</f>
        <v>10.199999999999999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IFERROR(__xludf.DUMMYFUNCTION("IMPORTRANGE(""https://docs.google.com/spreadsheets/d/11923uPwbBZFjjGgGUA6NLw09EwE0CqkOc4q9oUmW1yo/edit?usp=sharing"",""กำแพงเพชร!I524"")"),161)</f>
        <v>161</v>
      </c>
      <c r="J629" s="340">
        <f ca="1">IFERROR(__xludf.DUMMYFUNCTION("IMPORTRANGE(""https://docs.google.com/spreadsheets/d/11923uPwbBZFjjGgGUA6NLw09EwE0CqkOc4q9oUmW1yo/edit?usp=sharing"",""กำแพงเพชร!J524"")"),17)</f>
        <v>17</v>
      </c>
      <c r="K629" s="341">
        <f t="shared" ca="1" si="129"/>
        <v>10.559006211180124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0">
        <f ca="1">IFERROR(__xludf.DUMMYFUNCTION("IMPORTRANGE(""https://docs.google.com/spreadsheets/d/11923uPwbBZFjjGgGUA6NLw09EwE0CqkOc4q9oUmW1yo/edit?usp=sharing"",""กำแพงเพชร!J525"")"),858801.15)</f>
        <v>858801.15</v>
      </c>
      <c r="K630" s="341">
        <f t="shared" ca="1" si="129"/>
        <v>17.279922995228947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IFERROR(__xludf.DUMMYFUNCTION("IMPORTRANGE(""https://docs.google.com/spreadsheets/d/11923uPwbBZFjjGgGUA6NLw09EwE0CqkOc4q9oUmW1yo/edit?usp=sharing"",""กำแพงเพชร!I526"")"),126)</f>
        <v>126</v>
      </c>
      <c r="J631" s="340">
        <f ca="1">IFERROR(__xludf.DUMMYFUNCTION("IMPORTRANGE(""https://docs.google.com/spreadsheets/d/11923uPwbBZFjjGgGUA6NLw09EwE0CqkOc4q9oUmW1yo/edit?usp=sharing"",""กำแพงเพชร!J526"")"),42)</f>
        <v>42</v>
      </c>
      <c r="K631" s="341">
        <f t="shared" ca="1" si="129"/>
        <v>33.333333333333336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0">
        <f ca="1">IFERROR(__xludf.DUMMYFUNCTION("IMPORTRANGE(""https://docs.google.com/spreadsheets/d/11923uPwbBZFjjGgGUA6NLw09EwE0CqkOc4q9oUmW1yo/edit?usp=sharing"",""กำแพงเพชร!J527"")"),798436.32)</f>
        <v>798436.32</v>
      </c>
      <c r="K632" s="341">
        <f t="shared" ca="1" si="129"/>
        <v>31.667516985167413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IFERROR(__xludf.DUMMYFUNCTION("IMPORTRANGE(""https://docs.google.com/spreadsheets/d/11923uPwbBZFjjGgGUA6NLw09EwE0CqkOc4q9oUmW1yo/edit?usp=sharing"",""กำแพงเพชร!I528"")"),293)</f>
        <v>293</v>
      </c>
      <c r="J633" s="340">
        <f ca="1">IFERROR(__xludf.DUMMYFUNCTION("IMPORTRANGE(""https://docs.google.com/spreadsheets/d/11923uPwbBZFjjGgGUA6NLw09EwE0CqkOc4q9oUmW1yo/edit?usp=sharing"",""กำแพงเพชร!J528"")"),143)</f>
        <v>143</v>
      </c>
      <c r="K633" s="341">
        <f t="shared" ca="1" si="129"/>
        <v>48.805460750853243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IFERROR(__xludf.DUMMYFUNCTION("IMPORTRANGE(""https://docs.google.com/spreadsheets/d/11923uPwbBZFjjGgGUA6NLw09EwE0CqkOc4q9oUmW1yo/edit?usp=sharing"",""กำแพงเพชร!I529"")"),5000000)</f>
        <v>5000000</v>
      </c>
      <c r="J634" s="340">
        <f ca="1">IFERROR(__xludf.DUMMYFUNCTION("IMPORTRANGE(""https://docs.google.com/spreadsheets/d/11923uPwbBZFjjGgGUA6NLw09EwE0CqkOc4q9oUmW1yo/edit?usp=sharing"",""กำแพงเพชร!J529"")"),0)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IFERROR(__xludf.DUMMYFUNCTION("IMPORTRANGE(""https://docs.google.com/spreadsheets/d/11923uPwbBZFjjGgGUA6NLw09EwE0CqkOc4q9oUmW1yo/edit?usp=sharing"",""กำแพงเพชร!I530"")"),164)</f>
        <v>164</v>
      </c>
      <c r="J635" s="504">
        <f ca="1">IFERROR(__xludf.DUMMYFUNCTION("IMPORTRANGE(""https://docs.google.com/spreadsheets/d/11923uPwbBZFjjGgGUA6NLw09EwE0CqkOc4q9oUmW1yo/edit?usp=sharing"",""กำแพงเพชร!J530"")"),0)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G570" sqref="G570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240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7100058.7000000002</v>
      </c>
      <c r="M8" s="23">
        <f t="shared" ca="1" si="0"/>
        <v>3644047</v>
      </c>
      <c r="N8" s="23">
        <f t="shared" ca="1" si="0"/>
        <v>3394787.42</v>
      </c>
      <c r="O8" s="22">
        <f t="shared" ref="O8:O16" ca="1" si="1">IF(L8&gt;0,N8*100/L8,0)</f>
        <v>47.813512020682303</v>
      </c>
      <c r="P8" s="22">
        <f t="shared" ref="P8:P16" ca="1" si="2">IF(M8&gt;0,N8*100/M8,0)</f>
        <v>93.159814349266071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7100058.7000000002</v>
      </c>
      <c r="M10" s="30">
        <f t="shared" ca="1" si="4"/>
        <v>3644047</v>
      </c>
      <c r="N10" s="30">
        <f t="shared" ca="1" si="4"/>
        <v>3394787.42</v>
      </c>
      <c r="O10" s="29">
        <f t="shared" ca="1" si="1"/>
        <v>47.813512020682303</v>
      </c>
      <c r="P10" s="29">
        <f t="shared" ca="1" si="2"/>
        <v>93.159814349266071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6915258.7000000002</v>
      </c>
      <c r="M12" s="39">
        <f t="shared" ca="1" si="6"/>
        <v>3459247</v>
      </c>
      <c r="N12" s="39">
        <f t="shared" ca="1" si="6"/>
        <v>3209987.42</v>
      </c>
      <c r="O12" s="39">
        <f t="shared" ca="1" si="1"/>
        <v>46.418905774269874</v>
      </c>
      <c r="P12" s="39">
        <f t="shared" ca="1" si="2"/>
        <v>92.794397740317478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2745700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4169558.7</v>
      </c>
      <c r="M14" s="39">
        <f t="shared" si="8"/>
        <v>0</v>
      </c>
      <c r="N14" s="39">
        <f t="shared" ca="1" si="8"/>
        <v>851587</v>
      </c>
      <c r="O14" s="39">
        <f t="shared" ca="1" si="1"/>
        <v>20.423912007762354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184800</v>
      </c>
      <c r="M16" s="39">
        <f t="shared" ca="1" si="10"/>
        <v>184800</v>
      </c>
      <c r="N16" s="39">
        <f t="shared" ca="1" si="10"/>
        <v>184800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4633740</v>
      </c>
      <c r="M18" s="23">
        <f t="shared" ca="1" si="11"/>
        <v>3644047</v>
      </c>
      <c r="N18" s="23">
        <f t="shared" ca="1" si="11"/>
        <v>2543200.42</v>
      </c>
      <c r="O18" s="22">
        <f t="shared" ref="O18:O20" ca="1" si="12">IF(L18&gt;0,N18*100/L18,0)</f>
        <v>54.884400505854884</v>
      </c>
      <c r="P18" s="22">
        <f t="shared" ref="P18:P26" ca="1" si="13">IF(M18&gt;0,N18*100/M18,0)</f>
        <v>69.790549353507245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4633740</v>
      </c>
      <c r="M20" s="30">
        <f t="shared" ca="1" si="15"/>
        <v>3644047</v>
      </c>
      <c r="N20" s="30">
        <f t="shared" ca="1" si="15"/>
        <v>2543200.42</v>
      </c>
      <c r="O20" s="29">
        <f t="shared" ca="1" si="12"/>
        <v>54.884400505854884</v>
      </c>
      <c r="P20" s="29">
        <f t="shared" ca="1" si="13"/>
        <v>69.790549353507245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4448940</v>
      </c>
      <c r="M22" s="42">
        <f t="shared" ca="1" si="18"/>
        <v>3459247</v>
      </c>
      <c r="N22" s="39">
        <f t="shared" ca="1" si="18"/>
        <v>2358400.42</v>
      </c>
      <c r="O22" s="39">
        <f t="shared" ca="1" si="17"/>
        <v>53.010389441080349</v>
      </c>
      <c r="P22" s="39">
        <f t="shared" ca="1" si="13"/>
        <v>68.176699148687561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2745700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1703240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184800</v>
      </c>
      <c r="M26" s="50">
        <f t="shared" ca="1" si="22"/>
        <v>184800</v>
      </c>
      <c r="N26" s="50">
        <f t="shared" ca="1" si="22"/>
        <v>184800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2466318.7000000002</v>
      </c>
      <c r="M28" s="23">
        <f t="shared" si="23"/>
        <v>0</v>
      </c>
      <c r="N28" s="23">
        <f t="shared" ca="1" si="23"/>
        <v>851587</v>
      </c>
      <c r="O28" s="22">
        <f t="shared" ref="O28:O30" ca="1" si="24">IF(L28&gt;0,N28*100/L28,0)</f>
        <v>34.528668172527738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2466318.7000000002</v>
      </c>
      <c r="M30" s="30">
        <f t="shared" si="27"/>
        <v>0</v>
      </c>
      <c r="N30" s="30">
        <f t="shared" ca="1" si="27"/>
        <v>851587</v>
      </c>
      <c r="O30" s="29">
        <f t="shared" ca="1" si="24"/>
        <v>34.528668172527738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2466318.7000000002</v>
      </c>
      <c r="M32" s="39">
        <f t="shared" si="30"/>
        <v>0</v>
      </c>
      <c r="N32" s="39">
        <f t="shared" ca="1" si="30"/>
        <v>851587</v>
      </c>
      <c r="O32" s="39">
        <f t="shared" ca="1" si="29"/>
        <v>34.528668172527738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2466318.7000000002</v>
      </c>
      <c r="M34" s="39">
        <f t="shared" si="32"/>
        <v>0</v>
      </c>
      <c r="N34" s="39">
        <f t="shared" ca="1" si="32"/>
        <v>851587</v>
      </c>
      <c r="O34" s="39">
        <f t="shared" ca="1" si="29"/>
        <v>34.528668172527738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4633740</v>
      </c>
      <c r="M37" s="55">
        <f t="shared" ca="1" si="33"/>
        <v>3644047</v>
      </c>
      <c r="N37" s="55">
        <f t="shared" ca="1" si="33"/>
        <v>2543200.42</v>
      </c>
      <c r="O37" s="56">
        <f t="shared" ca="1" si="29"/>
        <v>54.884400505854884</v>
      </c>
      <c r="P37" s="56">
        <f t="shared" ca="1" si="25"/>
        <v>69.790549353507245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563100</v>
      </c>
      <c r="N41" s="79">
        <f t="shared" ca="1" si="34"/>
        <v>515937.07</v>
      </c>
      <c r="O41" s="78">
        <f t="shared" ref="O41:O43" ca="1" si="35">IF(L41&gt;0,N41*100/L41,0)</f>
        <v>68.727463700546153</v>
      </c>
      <c r="P41" s="78">
        <f t="shared" ref="P41:P43" ca="1" si="36">IF(M41&gt;0,N41*100/M41,0)</f>
        <v>91.62441307050257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563100</v>
      </c>
      <c r="N43" s="79">
        <f t="shared" ca="1" si="38"/>
        <v>515937.07</v>
      </c>
      <c r="O43" s="78">
        <f t="shared" ca="1" si="35"/>
        <v>68.727463700546153</v>
      </c>
      <c r="P43" s="78">
        <f t="shared" ca="1" si="36"/>
        <v>91.62441307050257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750700</v>
      </c>
      <c r="M45" s="50">
        <f ca="1">IFERROR(__xludf.DUMMYFUNCTION("IMPORTRANGE(""https://docs.google.com/spreadsheets/d/1Yj_ptqi66GCucihVvJfMjLAmec39IyEx_6qawtMGysU/edit?usp=sharing"",""สบก!Q21"")"),563100)</f>
        <v>563100</v>
      </c>
      <c r="N45" s="50">
        <f ca="1">IFERROR(__xludf.DUMMYFUNCTION("IMPORTRANGE(""https://docs.google.com/spreadsheets/d/1Yj_ptqi66GCucihVvJfMjLAmec39IyEx_6qawtMGysU/edit?usp=sharing"",""สบก!R21"")"),515937.07)</f>
        <v>515937.07</v>
      </c>
      <c r="O45" s="39">
        <f ca="1">IF(L45&gt;0,N45*100/L45,0)</f>
        <v>68.727463700546153</v>
      </c>
      <c r="P45" s="39">
        <f ca="1">IF(M45&gt;0,N45*100/M45,0)</f>
        <v>91.62441307050257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IFERROR(__xludf.DUMMYFUNCTION("IMPORTRANGE(""https://docs.google.com/spreadsheets/d/1Yj_ptqi66GCucihVvJfMjLAmec39IyEx_6qawtMGysU/edit?usp=sharing"",""สบก!M21"")"),750700)</f>
        <v>750700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700000</v>
      </c>
      <c r="M53" s="121">
        <f t="shared" ca="1" si="39"/>
        <v>552872</v>
      </c>
      <c r="N53" s="121">
        <f t="shared" ca="1" si="39"/>
        <v>371768.39</v>
      </c>
      <c r="O53" s="120">
        <f t="shared" ref="O53:O55" ca="1" si="40">IF(L53&gt;0,N53*100/L53,0)</f>
        <v>53.109769999999997</v>
      </c>
      <c r="P53" s="120">
        <f t="shared" ref="P53:P55" ca="1" si="41">IF(M53&gt;0,N53*100/M53,0)</f>
        <v>67.243121373482467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700000</v>
      </c>
      <c r="M55" s="121">
        <f t="shared" ca="1" si="43"/>
        <v>552872</v>
      </c>
      <c r="N55" s="121">
        <f t="shared" ca="1" si="43"/>
        <v>371768.39</v>
      </c>
      <c r="O55" s="120">
        <f t="shared" ca="1" si="40"/>
        <v>53.109769999999997</v>
      </c>
      <c r="P55" s="120">
        <f t="shared" ca="1" si="41"/>
        <v>67.243121373482467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700000</v>
      </c>
      <c r="M57" s="50">
        <f ca="1">IFERROR(__xludf.DUMMYFUNCTION("IMPORTRANGE(""https://docs.google.com/spreadsheets/d/1Yj_ptqi66GCucihVvJfMjLAmec39IyEx_6qawtMGysU/edit?usp=sharing"",""สบก!Z21"")"),552872)</f>
        <v>552872</v>
      </c>
      <c r="N57" s="50">
        <f ca="1">IFERROR(__xludf.DUMMYFUNCTION("IMPORTRANGE(""https://docs.google.com/spreadsheets/d/1Yj_ptqi66GCucihVvJfMjLAmec39IyEx_6qawtMGysU/edit?usp=sharing"",""สบก!AA21"")"),371768.39)</f>
        <v>371768.39</v>
      </c>
      <c r="O57" s="39">
        <f ca="1">IF(L57&gt;0,N57*100/L57,0)</f>
        <v>53.109769999999997</v>
      </c>
      <c r="P57" s="39">
        <f ca="1">IF(M57&gt;0,N57*100/M57,0)</f>
        <v>67.243121373482467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IFERROR(__xludf.DUMMYFUNCTION("IMPORTRANGE(""https://docs.google.com/spreadsheets/d/1Yj_ptqi66GCucihVvJfMjLAmec39IyEx_6qawtMGysU/edit?usp=sharing"",""สบก!V21"")"),700000)</f>
        <v>700000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548000</v>
      </c>
      <c r="M66" s="152">
        <f t="shared" ca="1" si="45"/>
        <v>475620</v>
      </c>
      <c r="N66" s="152">
        <f t="shared" ca="1" si="45"/>
        <v>224035</v>
      </c>
      <c r="O66" s="151">
        <f t="shared" ref="O66:O68" ca="1" si="46">IF(L66&gt;0,N66*100/L66,0)</f>
        <v>40.882299270072991</v>
      </c>
      <c r="P66" s="151">
        <f t="shared" ref="P66:P68" ca="1" si="47">IF(M66&gt;0,N66*100/M66,0)</f>
        <v>47.103780328833942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548000</v>
      </c>
      <c r="M68" s="88">
        <f t="shared" ca="1" si="49"/>
        <v>475620</v>
      </c>
      <c r="N68" s="88">
        <f t="shared" ca="1" si="49"/>
        <v>224035</v>
      </c>
      <c r="O68" s="156">
        <f t="shared" ca="1" si="46"/>
        <v>40.882299270072991</v>
      </c>
      <c r="P68" s="156">
        <f t="shared" ca="1" si="47"/>
        <v>47.103780328833942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IFERROR(__xludf.DUMMYFUNCTION("IMPORTRANGE(""https://docs.google.com/spreadsheets/d/1Yj_ptqi66GCucihVvJfMjLAmec39IyEx_6qawtMGysU/edit?usp=sharing"",""สบก!AI21"")"),475620)</f>
        <v>475620</v>
      </c>
      <c r="N70" s="168">
        <f ca="1">IFERROR(__xludf.DUMMYFUNCTION("IMPORTRANGE(""https://docs.google.com/spreadsheets/d/1Yj_ptqi66GCucihVvJfMjLAmec39IyEx_6qawtMGysU/edit?usp=sharing"",""สบก!AJ21"")"),224035)</f>
        <v>224035</v>
      </c>
      <c r="O70" s="168">
        <f ca="1">IF(L70&gt;0,N70*100/L70,0)</f>
        <v>40.882299270072991</v>
      </c>
      <c r="P70" s="168">
        <f ca="1">IF(M70&gt;0,N70*100/M70,0)</f>
        <v>47.103780328833942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IFERROR(__xludf.DUMMYFUNCTION("IMPORTRANGE(""https://docs.google.com/spreadsheets/d/1Yj_ptqi66GCucihVvJfMjLAmec39IyEx_6qawtMGysU/edit?usp=sharing"",""สบก!AG21"")"),0)</f>
        <v>0</v>
      </c>
      <c r="M74" s="50"/>
      <c r="N74" s="50">
        <f ca="1">IFERROR(__xludf.DUMMYFUNCTION("IMPORTRANGE(""https://docs.google.com/spreadsheets/d/1Yj_ptqi66GCucihVvJfMjLAmec39IyEx_6qawtMGysU/edit?usp=sharing"",""สบก!AK21"")"),0)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IFERROR(__xludf.DUMMYFUNCTION("IMPORTRANGE(""https://docs.google.com/spreadsheets/d/11923uPwbBZFjjGgGUA6NLw09EwE0CqkOc4q9oUmW1yo/edit?usp=sharing"",""เชียงราย!I28"")"),60)</f>
        <v>60</v>
      </c>
      <c r="J88" s="203">
        <f ca="1">IFERROR(__xludf.DUMMYFUNCTION("IMPORTRANGE(""https://docs.google.com/spreadsheets/d/11923uPwbBZFjjGgGUA6NLw09EwE0CqkOc4q9oUmW1yo/edit?usp=sharing"",""เชียงราย!J28"")"),0)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214115</v>
      </c>
      <c r="O94" s="151">
        <f t="shared" ref="O94:O96" ca="1" si="53">IF(L94&gt;0,N94*100/L94,0)</f>
        <v>67.129107098068729</v>
      </c>
      <c r="P94" s="151">
        <f t="shared" ref="P94:P96" ca="1" si="54">IF(M94&gt;0,N94*100/M94,0)</f>
        <v>67.129107098068729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214115</v>
      </c>
      <c r="O96" s="156">
        <f t="shared" ca="1" si="53"/>
        <v>67.129107098068729</v>
      </c>
      <c r="P96" s="156">
        <f t="shared" ca="1" si="54"/>
        <v>67.129107098068729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IFERROR(__xludf.DUMMYFUNCTION("IMPORTRANGE(""https://docs.google.com/spreadsheets/d/1Yj_ptqi66GCucihVvJfMjLAmec39IyEx_6qawtMGysU/edit?usp=sharing"",""สบก!AR21"")"),134160)</f>
        <v>134160</v>
      </c>
      <c r="N98" s="168">
        <f ca="1">IFERROR(__xludf.DUMMYFUNCTION("IMPORTRANGE(""https://docs.google.com/spreadsheets/d/1Yj_ptqi66GCucihVvJfMjLAmec39IyEx_6qawtMGysU/edit?usp=sharing"",""สบก!AS21"")"),29315)</f>
        <v>29315</v>
      </c>
      <c r="O98" s="168">
        <f ca="1">IF(L98&gt;0,N98*100/L98,0)</f>
        <v>21.850775193798448</v>
      </c>
      <c r="P98" s="168">
        <f ca="1">IF(M98&gt;0,N98*100/M98,0)</f>
        <v>21.850775193798448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IFERROR(__xludf.DUMMYFUNCTION("IMPORTRANGE(""https://docs.google.com/spreadsheets/d/11923uPwbBZFjjGgGUA6NLw09EwE0CqkOc4q9oUmW1yo/edit?usp=sharing"",""เชียงราย!J50"")"),0)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241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IFERROR(__xludf.DUMMYFUNCTION("IMPORTRANGE(""https://docs.google.com/spreadsheets/d/11923uPwbBZFjjGgGUA6NLw09EwE0CqkOc4q9oUmW1yo/edit?usp=sharing"",""เชียงราย!J65"")"),0)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IFERROR(__xludf.DUMMYFUNCTION("IMPORTRANGE(""https://docs.google.com/spreadsheets/d/11923uPwbBZFjjGgGUA6NLw09EwE0CqkOc4q9oUmW1yo/edit?usp=sharing"",""เชียงราย!I68"")"),15)</f>
        <v>15</v>
      </c>
      <c r="J138" s="266">
        <f ca="1">IFERROR(__xludf.DUMMYFUNCTION("IMPORTRANGE(""https://docs.google.com/spreadsheets/d/11923uPwbBZFjjGgGUA6NLw09EwE0CqkOc4q9oUmW1yo/edit?usp=sharing"",""เชียงราย!J68"")"),15)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579900</v>
      </c>
      <c r="M140" s="152">
        <f t="shared" ca="1" si="64"/>
        <v>446125</v>
      </c>
      <c r="N140" s="152">
        <f t="shared" ca="1" si="64"/>
        <v>308685.63</v>
      </c>
      <c r="O140" s="151">
        <f t="shared" ref="O140:O142" ca="1" si="65">IF(L140&gt;0,N140*100/L140,0)</f>
        <v>53.230838075530265</v>
      </c>
      <c r="P140" s="151">
        <f t="shared" ref="P140:P142" ca="1" si="66">IF(M140&gt;0,N140*100/M140,0)</f>
        <v>69.19263210983469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579900</v>
      </c>
      <c r="M142" s="88">
        <f t="shared" ca="1" si="68"/>
        <v>446125</v>
      </c>
      <c r="N142" s="88">
        <f t="shared" ca="1" si="68"/>
        <v>308685.63</v>
      </c>
      <c r="O142" s="156">
        <f t="shared" ca="1" si="65"/>
        <v>53.230838075530265</v>
      </c>
      <c r="P142" s="156">
        <f t="shared" ca="1" si="66"/>
        <v>69.19263210983469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579900</v>
      </c>
      <c r="M144" s="167">
        <f ca="1">IFERROR(__xludf.DUMMYFUNCTION("IMPORTRANGE(""https://docs.google.com/spreadsheets/d/1Yj_ptqi66GCucihVvJfMjLAmec39IyEx_6qawtMGysU/edit?usp=sharing"",""สบก!BJ21"")"),446125)</f>
        <v>446125</v>
      </c>
      <c r="N144" s="168">
        <f ca="1">IFERROR(__xludf.DUMMYFUNCTION("IMPORTRANGE(""https://docs.google.com/spreadsheets/d/1Yj_ptqi66GCucihVvJfMjLAmec39IyEx_6qawtMGysU/edit?usp=sharing"",""สบก!BK21"")"),308685.63)</f>
        <v>308685.63</v>
      </c>
      <c r="O144" s="168">
        <f ca="1">IF(L144&gt;0,N144*100/L144,0)</f>
        <v>53.230838075530265</v>
      </c>
      <c r="P144" s="168">
        <f ca="1">IF(M144&gt;0,N144*100/M144,0)</f>
        <v>69.19263210983469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IFERROR(__xludf.DUMMYFUNCTION("IMPORTRANGE(""https://docs.google.com/spreadsheets/d/1Yj_ptqi66GCucihVvJfMjLAmec39IyEx_6qawtMGysU/edit?usp=sharing"",""สบก!BG21"")"),116500)</f>
        <v>116500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IFERROR(__xludf.DUMMYFUNCTION("IMPORTRANGE(""https://docs.google.com/spreadsheets/d/11923uPwbBZFjjGgGUA6NLw09EwE0CqkOc4q9oUmW1yo/edit?usp=sharing"",""เชียงราย!I74"")"),4)</f>
        <v>4</v>
      </c>
      <c r="J149" s="274">
        <f ca="1">IFERROR(__xludf.DUMMYFUNCTION("IMPORTRANGE(""https://docs.google.com/spreadsheets/d/11923uPwbBZFjjGgGUA6NLw09EwE0CqkOc4q9oUmW1yo/edit?usp=sharing"",""เชียงราย!J74"")"),2)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IFERROR(__xludf.DUMMYFUNCTION("IMPORTRANGE(""https://docs.google.com/spreadsheets/d/11923uPwbBZFjjGgGUA6NLw09EwE0CqkOc4q9oUmW1yo/edit?usp=sharing"",""เชียงราย!I89"")"),5)</f>
        <v>5</v>
      </c>
      <c r="J164" s="283">
        <f ca="1">IFERROR(__xludf.DUMMYFUNCTION("IMPORTRANGE(""https://docs.google.com/spreadsheets/d/11923uPwbBZFjjGgGUA6NLw09EwE0CqkOc4q9oUmW1yo/edit?usp=sharing"",""เชียงราย!J89"")"),5)</f>
        <v>5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IFERROR(__xludf.DUMMYFUNCTION("IMPORTRANGE(""https://docs.google.com/spreadsheets/d/11923uPwbBZFjjGgGUA6NLw09EwE0CqkOc4q9oUmW1yo/edit?usp=sharing"",""เชียงราย!I101"")"),0)</f>
        <v>0</v>
      </c>
      <c r="J176" s="283">
        <f ca="1">IFERROR(__xludf.DUMMYFUNCTION("IMPORTRANGE(""https://docs.google.com/spreadsheets/d/11923uPwbBZFjjGgGUA6NLw09EwE0CqkOc4q9oUmW1yo/edit?usp=sharing"",""เชียงราย!J101"")"),0)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IFERROR(__xludf.DUMMYFUNCTION("IMPORTRANGE(""https://docs.google.com/spreadsheets/d/11923uPwbBZFjjGgGUA6NLw09EwE0CqkOc4q9oUmW1yo/edit?usp=sharing"",""เชียงราย!J113"")"),0)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IFERROR(__xludf.DUMMYFUNCTION("IMPORTRANGE(""https://docs.google.com/spreadsheets/d/11923uPwbBZFjjGgGUA6NLw09EwE0CqkOc4q9oUmW1yo/edit?usp=sharing"",""เชียงราย!I114"")"),60000)</f>
        <v>60000</v>
      </c>
      <c r="J189" s="283">
        <f ca="1">IFERROR(__xludf.DUMMYFUNCTION("IMPORTRANGE(""https://docs.google.com/spreadsheets/d/11923uPwbBZFjjGgGUA6NLw09EwE0CqkOc4q9oUmW1yo/edit?usp=sharing"",""เชียงราย!J114"")"),0)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IFERROR(__xludf.DUMMYFUNCTION("IMPORTRANGE(""https://docs.google.com/spreadsheets/d/11923uPwbBZFjjGgGUA6NLw09EwE0CqkOc4q9oUmW1yo/edit?usp=sharing"",""เชียงราย!J128"")"),0)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IFERROR(__xludf.DUMMYFUNCTION("IMPORTRANGE(""https://docs.google.com/spreadsheets/d/11923uPwbBZFjjGgGUA6NLw09EwE0CqkOc4q9oUmW1yo/edit?usp=sharing"",""เชียงราย!I129"")"),0)</f>
        <v>0</v>
      </c>
      <c r="J204" s="283">
        <f ca="1">IFERROR(__xludf.DUMMYFUNCTION("IMPORTRANGE(""https://docs.google.com/spreadsheets/d/11923uPwbBZFjjGgGUA6NLw09EwE0CqkOc4q9oUmW1yo/edit?usp=sharing"",""เชียงราย!J129"")"),0)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IFERROR(__xludf.DUMMYFUNCTION("IMPORTRANGE(""https://docs.google.com/spreadsheets/d/11923uPwbBZFjjGgGUA6NLw09EwE0CqkOc4q9oUmW1yo/edit?usp=sharing"",""เชียงราย!J143"")"),0)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IFERROR(__xludf.DUMMYFUNCTION("IMPORTRANGE(""https://docs.google.com/spreadsheets/d/11923uPwbBZFjjGgGUA6NLw09EwE0CqkOc4q9oUmW1yo/edit?usp=sharing"",""เชียงราย!I144"")"),14)</f>
        <v>14</v>
      </c>
      <c r="J219" s="266">
        <f ca="1">IFERROR(__xludf.DUMMYFUNCTION("IMPORTRANGE(""https://docs.google.com/spreadsheets/d/11923uPwbBZFjjGgGUA6NLw09EwE0CqkOc4q9oUmW1yo/edit?usp=sharing"",""เชียงราย!J144"")"),14)</f>
        <v>14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19940</v>
      </c>
      <c r="O220" s="151">
        <f t="shared" ref="O220:O222" ca="1" si="73">IF(L220&gt;0,N220*100/L220,0)</f>
        <v>98.66402770905492</v>
      </c>
      <c r="P220" s="151">
        <f t="shared" ref="P220:P222" ca="1" si="74">IF(M220&gt;0,N220*100/M220,0)</f>
        <v>98.66402770905492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19940</v>
      </c>
      <c r="O222" s="156">
        <f t="shared" ca="1" si="73"/>
        <v>98.66402770905492</v>
      </c>
      <c r="P222" s="156">
        <f t="shared" ca="1" si="74"/>
        <v>98.66402770905492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IFERROR(__xludf.DUMMYFUNCTION("IMPORTRANGE(""https://docs.google.com/spreadsheets/d/1Yj_ptqi66GCucihVvJfMjLAmec39IyEx_6qawtMGysU/edit?usp=sharing"",""สบก!BT21"")"),19940)</f>
        <v>19940</v>
      </c>
      <c r="O224" s="168">
        <f ca="1">IF(L224&gt;0,N224*100/L224,0)</f>
        <v>98.66402770905492</v>
      </c>
      <c r="P224" s="168">
        <f ca="1">IF(M224&gt;0,N224*100/M224,0)</f>
        <v>98.66402770905492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IFERROR(__xludf.DUMMYFUNCTION("IMPORTRANGE(""https://docs.google.com/spreadsheets/d/11923uPwbBZFjjGgGUA6NLw09EwE0CqkOc4q9oUmW1yo/edit?usp=sharing"",""เชียงราย!I149"")"),14)</f>
        <v>14</v>
      </c>
      <c r="J229" s="266">
        <f ca="1">IFERROR(__xludf.DUMMYFUNCTION("IMPORTRANGE(""https://docs.google.com/spreadsheets/d/11923uPwbBZFjjGgGUA6NLw09EwE0CqkOc4q9oUmW1yo/edit?usp=sharing"",""เชียงราย!J149"")"),14)</f>
        <v>14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IFERROR(__xludf.DUMMYFUNCTION("IMPORTRANGE(""https://docs.google.com/spreadsheets/d/11923uPwbBZFjjGgGUA6NLw09EwE0CqkOc4q9oUmW1yo/edit?usp=sharing"",""เชียงราย!I158"")"),0)</f>
        <v>0</v>
      </c>
      <c r="J238" s="266">
        <f ca="1">IFERROR(__xludf.DUMMYFUNCTION("IMPORTRANGE(""https://docs.google.com/spreadsheets/d/11923uPwbBZFjjGgGUA6NLw09EwE0CqkOc4q9oUmW1yo/edit?usp=sharing"",""เชียงราย!J158"")"),0)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IFERROR(__xludf.DUMMYFUNCTION("IMPORTRANGE(""https://docs.google.com/spreadsheets/d/11923uPwbBZFjjGgGUA6NLw09EwE0CqkOc4q9oUmW1yo/edit?usp=sharing"",""เชียงราย!J166"")"),0)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IFERROR(__xludf.DUMMYFUNCTION("IMPORTRANGE(""https://docs.google.com/spreadsheets/d/11923uPwbBZFjjGgGUA6NLw09EwE0CqkOc4q9oUmW1yo/edit?usp=sharing"",""เชียงราย!I169"")"),20)</f>
        <v>20</v>
      </c>
      <c r="J249" s="315">
        <f ca="1">IFERROR(__xludf.DUMMYFUNCTION("IMPORTRANGE(""https://docs.google.com/spreadsheets/d/11923uPwbBZFjjGgGUA6NLw09EwE0CqkOc4q9oUmW1yo/edit?usp=sharing"",""เชียงราย!J169"")"),20)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32990</v>
      </c>
      <c r="O250" s="151">
        <f t="shared" ref="O250:O252" ca="1" si="78">IF(L250&gt;0,N250*100/L250,0)</f>
        <v>46.20448179271709</v>
      </c>
      <c r="P250" s="151">
        <f t="shared" ref="P250:P252" ca="1" si="79">IF(M250&gt;0,N250*100/M250,0)</f>
        <v>78.547619047619051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32990</v>
      </c>
      <c r="O252" s="156">
        <f t="shared" ca="1" si="78"/>
        <v>46.20448179271709</v>
      </c>
      <c r="P252" s="156">
        <f t="shared" ca="1" si="79"/>
        <v>78.547619047619051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IFERROR(__xludf.DUMMYFUNCTION("IMPORTRANGE(""https://docs.google.com/spreadsheets/d/1Yj_ptqi66GCucihVvJfMjLAmec39IyEx_6qawtMGysU/edit?usp=sharing"",""สบก!CB21"")"),42000)</f>
        <v>42000</v>
      </c>
      <c r="N254" s="168">
        <f ca="1">IFERROR(__xludf.DUMMYFUNCTION("IMPORTRANGE(""https://docs.google.com/spreadsheets/d/1Yj_ptqi66GCucihVvJfMjLAmec39IyEx_6qawtMGysU/edit?usp=sharing"",""สบก!CC21"")"),32990)</f>
        <v>32990</v>
      </c>
      <c r="O254" s="168">
        <f ca="1">IF(L254&gt;0,N254*100/L254,0)</f>
        <v>46.20448179271709</v>
      </c>
      <c r="P254" s="168">
        <f ca="1">IF(M254&gt;0,N254*100/M254,0)</f>
        <v>78.547619047619051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IFERROR(__xludf.DUMMYFUNCTION("IMPORTRANGE(""https://docs.google.com/spreadsheets/d/11923uPwbBZFjjGgGUA6NLw09EwE0CqkOc4q9oUmW1yo/edit?usp=sharing"",""เชียงราย!J184"")"),0)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IFERROR(__xludf.DUMMYFUNCTION("IMPORTRANGE(""https://docs.google.com/spreadsheets/d/11923uPwbBZFjjGgGUA6NLw09EwE0CqkOc4q9oUmW1yo/edit?usp=sharing"",""เชียงราย!I185"")"),15)</f>
        <v>15</v>
      </c>
      <c r="J270" s="315">
        <f ca="1">IFERROR(__xludf.DUMMYFUNCTION("IMPORTRANGE(""https://docs.google.com/spreadsheets/d/11923uPwbBZFjjGgGUA6NLw09EwE0CqkOc4q9oUmW1yo/edit?usp=sharing"",""เชียงราย!J185"")"),15)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57720</v>
      </c>
      <c r="O271" s="151">
        <f t="shared" ref="O271:O273" ca="1" si="84">IF(L271&gt;0,N271*100/L271,0)</f>
        <v>54.607379375591293</v>
      </c>
      <c r="P271" s="151">
        <f t="shared" ref="P271:P273" ca="1" si="85">IF(M271&gt;0,N271*100/M271,0)</f>
        <v>72.150000000000006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57720</v>
      </c>
      <c r="O273" s="156">
        <f t="shared" ca="1" si="84"/>
        <v>54.607379375591293</v>
      </c>
      <c r="P273" s="156">
        <f t="shared" ca="1" si="85"/>
        <v>72.150000000000006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IFERROR(__xludf.DUMMYFUNCTION("IMPORTRANGE(""https://docs.google.com/spreadsheets/d/1Yj_ptqi66GCucihVvJfMjLAmec39IyEx_6qawtMGysU/edit?usp=sharing"",""สบก!CK21"")"),80000)</f>
        <v>80000</v>
      </c>
      <c r="N275" s="168">
        <f ca="1">IFERROR(__xludf.DUMMYFUNCTION("IMPORTRANGE(""https://docs.google.com/spreadsheets/d/1Yj_ptqi66GCucihVvJfMjLAmec39IyEx_6qawtMGysU/edit?usp=sharing"",""สบก!CL21"")"),57720)</f>
        <v>57720</v>
      </c>
      <c r="O275" s="168">
        <f ca="1">IF(L275&gt;0,N275*100/L275,0)</f>
        <v>54.607379375591293</v>
      </c>
      <c r="P275" s="168">
        <f ca="1">IF(M275&gt;0,N275*100/M275,0)</f>
        <v>72.150000000000006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IFERROR(__xludf.DUMMYFUNCTION("IMPORTRANGE(""https://docs.google.com/spreadsheets/d/11923uPwbBZFjjGgGUA6NLw09EwE0CqkOc4q9oUmW1yo/edit?usp=sharing"",""เชียงราย!I199"")"),0)</f>
        <v>0</v>
      </c>
      <c r="J289" s="315">
        <f ca="1">IFERROR(__xludf.DUMMYFUNCTION("IMPORTRANGE(""https://docs.google.com/spreadsheets/d/11923uPwbBZFjjGgGUA6NLw09EwE0CqkOc4q9oUmW1yo/edit?usp=sharing"",""เชียงราย!J199"")"),0)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IFERROR(__xludf.DUMMYFUNCTION("IMPORTRANGE(""https://docs.google.com/spreadsheets/d/11923uPwbBZFjjGgGUA6NLw09EwE0CqkOc4q9oUmW1yo/edit?usp=sharing"",""เชียงราย!J213"")"),0)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IFERROR(__xludf.DUMMYFUNCTION("IMPORTRANGE(""https://docs.google.com/spreadsheets/d/11923uPwbBZFjjGgGUA6NLw09EwE0CqkOc4q9oUmW1yo/edit?usp=sharing"",""เชียงราย!I214"")"),0)</f>
        <v>0</v>
      </c>
      <c r="J309" s="332">
        <f ca="1">IFERROR(__xludf.DUMMYFUNCTION("IMPORTRANGE(""https://docs.google.com/spreadsheets/d/11923uPwbBZFjjGgGUA6NLw09EwE0CqkOc4q9oUmW1yo/edit?usp=sharing"",""เชียงราย!J214"")"),0)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IFERROR(__xludf.DUMMYFUNCTION("IMPORTRANGE(""https://docs.google.com/spreadsheets/d/11923uPwbBZFjjGgGUA6NLw09EwE0CqkOc4q9oUmW1yo/edit?usp=sharing"",""เชียงราย!J226"")"),0)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IFERROR(__xludf.DUMMYFUNCTION("IMPORTRANGE(""https://docs.google.com/spreadsheets/d/11923uPwbBZFjjGgGUA6NLw09EwE0CqkOc4q9oUmW1yo/edit?usp=sharing"",""เชียงราย!I228"")"),680)</f>
        <v>680</v>
      </c>
      <c r="J328" s="338">
        <f ca="1">IFERROR(__xludf.DUMMYFUNCTION("IMPORTRANGE(""https://docs.google.com/spreadsheets/d/11923uPwbBZFjjGgGUA6NLw09EwE0CqkOc4q9oUmW1yo/edit?usp=sharing"",""เชียงราย!J228"")"),447)</f>
        <v>447</v>
      </c>
      <c r="K328" s="316">
        <f ca="1">IF(I328&gt;0,J328*100/I328,0)</f>
        <v>65.735294117647058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1145160</v>
      </c>
      <c r="N329" s="152">
        <f t="shared" ca="1" si="98"/>
        <v>798009.33</v>
      </c>
      <c r="O329" s="151">
        <f t="shared" ref="O329:O331" ca="1" si="99">IF(L329&gt;0,N329*100/L329,0)</f>
        <v>51.856838459389031</v>
      </c>
      <c r="P329" s="151">
        <f t="shared" ref="P329:P331" ca="1" si="100">IF(M329&gt;0,N329*100/M329,0)</f>
        <v>69.685400293408776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1145160</v>
      </c>
      <c r="N331" s="88">
        <f t="shared" ca="1" si="102"/>
        <v>798009.33</v>
      </c>
      <c r="O331" s="156">
        <f t="shared" ca="1" si="99"/>
        <v>51.856838459389031</v>
      </c>
      <c r="P331" s="156">
        <f t="shared" ca="1" si="100"/>
        <v>69.685400293408776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IFERROR(__xludf.DUMMYFUNCTION("IMPORTRANGE(""https://docs.google.com/spreadsheets/d/1Yj_ptqi66GCucihVvJfMjLAmec39IyEx_6qawtMGysU/edit?usp=sharing"",""สบก!DL21"")"),1145160)</f>
        <v>1145160</v>
      </c>
      <c r="N333" s="168">
        <f ca="1">IFERROR(__xludf.DUMMYFUNCTION("IMPORTRANGE(""https://docs.google.com/spreadsheets/d/1Yj_ptqi66GCucihVvJfMjLAmec39IyEx_6qawtMGysU/edit?usp=sharing"",""สบก!DM21"")"),798009.33)</f>
        <v>798009.33</v>
      </c>
      <c r="O333" s="168">
        <f ca="1">IF(L333&gt;0,N333*100/L333,0)</f>
        <v>51.856838459389031</v>
      </c>
      <c r="P333" s="168">
        <f ca="1">IF(M333&gt;0,N333*100/M333,0)</f>
        <v>69.685400293408776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IFERROR(__xludf.DUMMYFUNCTION("IMPORTRANGE(""https://docs.google.com/spreadsheets/d/11923uPwbBZFjjGgGUA6NLw09EwE0CqkOc4q9oUmW1yo/edit?usp=sharing"",""เชียงราย!J234"")"),347)</f>
        <v>347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IFERROR(__xludf.DUMMYFUNCTION("IMPORTRANGE(""https://docs.google.com/spreadsheets/d/11923uPwbBZFjjGgGUA6NLw09EwE0CqkOc4q9oUmW1yo/edit?usp=sharing"",""เชียงราย!J235"")"),2019.79)</f>
        <v>2019.79</v>
      </c>
      <c r="K340" s="341">
        <f t="shared" ca="1" si="103"/>
        <v>59.405588235294118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IFERROR(__xludf.DUMMYFUNCTION("IMPORTRANGE(""https://docs.google.com/spreadsheets/d/11923uPwbBZFjjGgGUA6NLw09EwE0CqkOc4q9oUmW1yo/edit?usp=sharing"",""เชียงราย!J236"")"),459)</f>
        <v>459</v>
      </c>
      <c r="K341" s="341">
        <f t="shared" ca="1" si="103"/>
        <v>67.5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IFERROR(__xludf.DUMMYFUNCTION("IMPORTRANGE(""https://docs.google.com/spreadsheets/d/11923uPwbBZFjjGgGUA6NLw09EwE0CqkOc4q9oUmW1yo/edit?usp=sharing"",""เชียงราย!J237"")"),3037.64)</f>
        <v>3037.64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IFERROR(__xludf.DUMMYFUNCTION("IMPORTRANGE(""https://docs.google.com/spreadsheets/d/11923uPwbBZFjjGgGUA6NLw09EwE0CqkOc4q9oUmW1yo/edit?usp=sharing"",""เชียงราย!J238"")"),2)</f>
        <v>2</v>
      </c>
      <c r="K343" s="341">
        <f t="shared" ca="1" si="103"/>
        <v>0.29411764705882354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IFERROR(__xludf.DUMMYFUNCTION("IMPORTRANGE(""https://docs.google.com/spreadsheets/d/11923uPwbBZFjjGgGUA6NLw09EwE0CqkOc4q9oUmW1yo/edit?usp=sharing"",""เชียงราย!J239"")"),9.23)</f>
        <v>9.23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IFERROR(__xludf.DUMMYFUNCTION("IMPORTRANGE(""https://docs.google.com/spreadsheets/d/11923uPwbBZFjjGgGUA6NLw09EwE0CqkOc4q9oUmW1yo/edit?usp=sharing"",""เชียงราย!J240"")"),447)</f>
        <v>447</v>
      </c>
      <c r="K345" s="341">
        <f t="shared" ca="1" si="103"/>
        <v>65.735294117647058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IFERROR(__xludf.DUMMYFUNCTION("IMPORTRANGE(""https://docs.google.com/spreadsheets/d/11923uPwbBZFjjGgGUA6NLw09EwE0CqkOc4q9oUmW1yo/edit?usp=sharing"",""เชียงราย!J241"")"),2852.08)</f>
        <v>2852.08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IFERROR(__xludf.DUMMYFUNCTION("IMPORTRANGE(""https://docs.google.com/spreadsheets/d/11923uPwbBZFjjGgGUA6NLw09EwE0CqkOc4q9oUmW1yo/edit?usp=sharing"",""เชียงราย!L242"")"),2466318.7)</f>
        <v>2466318.7000000002</v>
      </c>
      <c r="M347" s="357"/>
      <c r="N347" s="357">
        <f ca="1">IFERROR(__xludf.DUMMYFUNCTION("IMPORTRANGE(""https://docs.google.com/spreadsheets/d/11923uPwbBZFjjGgGUA6NLw09EwE0CqkOc4q9oUmW1yo/edit?usp=sharing"",""เชียงราย!M242"")"),851587)</f>
        <v>851587</v>
      </c>
      <c r="O347" s="357">
        <f ca="1">+IF(L347&gt;0,N347*100/L347,0)</f>
        <v>34.528668172527738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IFERROR(__xludf.DUMMYFUNCTION("IMPORTRANGE(""https://docs.google.com/spreadsheets/d/11923uPwbBZFjjGgGUA6NLw09EwE0CqkOc4q9oUmW1yo/edit?usp=sharing"",""เชียงราย!M244"")"),50485)</f>
        <v>50485</v>
      </c>
      <c r="O349" s="372">
        <f ca="1">+IF(L349&gt;0,N349*100/L349,0)</f>
        <v>9.4860954528372794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IFERROR(__xludf.DUMMYFUNCTION("IMPORTRANGE(""https://docs.google.com/spreadsheets/d/11923uPwbBZFjjGgGUA6NLw09EwE0CqkOc4q9oUmW1yo/edit?usp=sharing"",""เชียงราย!M247"")"),50485)</f>
        <v>50485</v>
      </c>
      <c r="O352" s="165">
        <f t="shared" ca="1" si="105"/>
        <v>9.4860954528372794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IFERROR(__xludf.DUMMYFUNCTION("IMPORTRANGE(""https://docs.google.com/spreadsheets/d/11923uPwbBZFjjGgGUA6NLw09EwE0CqkOc4q9oUmW1yo/edit?usp=sharing"",""เชียงราย!M249"")"),50485)</f>
        <v>50485</v>
      </c>
      <c r="O354" s="168">
        <f t="shared" ca="1" si="105"/>
        <v>9.4860954528372794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IFERROR(__xludf.DUMMYFUNCTION("IMPORTRANGE(""https://docs.google.com/spreadsheets/d/11923uPwbBZFjjGgGUA6NLw09EwE0CqkOc4q9oUmW1yo/edit?usp=sharing"",""เชียงราย!M252"")"),42000)</f>
        <v>42000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IFERROR(__xludf.DUMMYFUNCTION("IMPORTRANGE(""https://docs.google.com/spreadsheets/d/11923uPwbBZFjjGgGUA6NLw09EwE0CqkOc4q9oUmW1yo/edit?usp=sharing"",""เชียงราย!M253"")"),8485)</f>
        <v>8485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IFERROR(__xludf.DUMMYFUNCTION("IMPORTRANGE(""https://docs.google.com/spreadsheets/d/11923uPwbBZFjjGgGUA6NLw09EwE0CqkOc4q9oUmW1yo/edit?usp=sharing"",""เชียงราย!M275"")"),128280)</f>
        <v>128280</v>
      </c>
      <c r="O380" s="372">
        <f ca="1">+IF(L380&gt;0,N380*100/L380,0)</f>
        <v>27.87847176946147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IFERROR(__xludf.DUMMYFUNCTION("IMPORTRANGE(""https://docs.google.com/spreadsheets/d/11923uPwbBZFjjGgGUA6NLw09EwE0CqkOc4q9oUmW1yo/edit?usp=sharing"",""เชียงราย!M278"")"),128280)</f>
        <v>128280</v>
      </c>
      <c r="O383" s="165">
        <f t="shared" ca="1" si="109"/>
        <v>27.87847176946147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IFERROR(__xludf.DUMMYFUNCTION("IMPORTRANGE(""https://docs.google.com/spreadsheets/d/11923uPwbBZFjjGgGUA6NLw09EwE0CqkOc4q9oUmW1yo/edit?usp=sharing"",""เชียงราย!M280"")"),128280)</f>
        <v>128280</v>
      </c>
      <c r="O385" s="168">
        <f t="shared" ca="1" si="109"/>
        <v>27.87847176946147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IFERROR(__xludf.DUMMYFUNCTION("IMPORTRANGE(""https://docs.google.com/spreadsheets/d/11923uPwbBZFjjGgGUA6NLw09EwE0CqkOc4q9oUmW1yo/edit?usp=sharing"",""เชียงราย!M281"")"),110940)</f>
        <v>110940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IFERROR(__xludf.DUMMYFUNCTION("IMPORTRANGE(""https://docs.google.com/spreadsheets/d/11923uPwbBZFjjGgGUA6NLw09EwE0CqkOc4q9oUmW1yo/edit?usp=sharing"",""เชียงราย!M284"")"),17340)</f>
        <v>17340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IFERROR(__xludf.DUMMYFUNCTION("IMPORTRANGE(""https://docs.google.com/spreadsheets/d/11923uPwbBZFjjGgGUA6NLw09EwE0CqkOc4q9oUmW1yo/edit?usp=sharing"",""เชียงราย!M296"")"),170552)</f>
        <v>170552</v>
      </c>
      <c r="O401" s="372">
        <f ca="1">+IF(L401&gt;0,N401*100/L401,0)</f>
        <v>87.060745278203171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IFERROR(__xludf.DUMMYFUNCTION("IMPORTRANGE(""https://docs.google.com/spreadsheets/d/11923uPwbBZFjjGgGUA6NLw09EwE0CqkOc4q9oUmW1yo/edit?usp=sharing"",""เชียงราย!M299"")"),170552)</f>
        <v>170552</v>
      </c>
      <c r="O404" s="168">
        <f t="shared" ca="1" si="112"/>
        <v>87.060745278203171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IFERROR(__xludf.DUMMYFUNCTION("IMPORTRANGE(""https://docs.google.com/spreadsheets/d/11923uPwbBZFjjGgGUA6NLw09EwE0CqkOc4q9oUmW1yo/edit?usp=sharing"",""เชียงราย!M301"")"),170552)</f>
        <v>170552</v>
      </c>
      <c r="O406" s="168">
        <f t="shared" ca="1" si="112"/>
        <v>87.060745278203171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IFERROR(__xludf.DUMMYFUNCTION("IMPORTRANGE(""https://docs.google.com/spreadsheets/d/11923uPwbBZFjjGgGUA6NLw09EwE0CqkOc4q9oUmW1yo/edit?usp=sharing"",""เชียงราย!M302"")"),121522)</f>
        <v>121522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IFERROR(__xludf.DUMMYFUNCTION("IMPORTRANGE(""https://docs.google.com/spreadsheets/d/11923uPwbBZFjjGgGUA6NLw09EwE0CqkOc4q9oUmW1yo/edit?usp=sharing"",""เชียงราย!M305"")"),49030)</f>
        <v>49030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IFERROR(__xludf.DUMMYFUNCTION("IMPORTRANGE(""https://docs.google.com/spreadsheets/d/11923uPwbBZFjjGgGUA6NLw09EwE0CqkOc4q9oUmW1yo/edit?usp=sharing"",""เชียงราย!M330"")"),116850)</f>
        <v>116850</v>
      </c>
      <c r="O435" s="411">
        <f t="shared" ref="O435:O439" ca="1" si="114">+IF(L435&gt;0,N435*100/L435,0)</f>
        <v>73.12265331664581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IFERROR(__xludf.DUMMYFUNCTION("IMPORTRANGE(""https://docs.google.com/spreadsheets/d/11923uPwbBZFjjGgGUA6NLw09EwE0CqkOc4q9oUmW1yo/edit?usp=sharing"",""เชียงราย!M332"")"),116850)</f>
        <v>116850</v>
      </c>
      <c r="O437" s="168">
        <f t="shared" ca="1" si="114"/>
        <v>73.12265331664581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IFERROR(__xludf.DUMMYFUNCTION("IMPORTRANGE(""https://docs.google.com/spreadsheets/d/11923uPwbBZFjjGgGUA6NLw09EwE0CqkOc4q9oUmW1yo/edit?usp=sharing"",""เชียงราย!M334"")"),116850)</f>
        <v>116850</v>
      </c>
      <c r="O439" s="168">
        <f t="shared" ca="1" si="114"/>
        <v>73.12265331664581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IFERROR(__xludf.DUMMYFUNCTION("IMPORTRANGE(""https://docs.google.com/spreadsheets/d/11923uPwbBZFjjGgGUA6NLw09EwE0CqkOc4q9oUmW1yo/edit?usp=sharing"",""เชียงราย!M335"")"),103305)</f>
        <v>103305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IFERROR(__xludf.DUMMYFUNCTION("IMPORTRANGE(""https://docs.google.com/spreadsheets/d/11923uPwbBZFjjGgGUA6NLw09EwE0CqkOc4q9oUmW1yo/edit?usp=sharing"",""เชียงราย!M338"")"),13545)</f>
        <v>13545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IFERROR(__xludf.DUMMYFUNCTION("IMPORTRANGE(""https://docs.google.com/spreadsheets/d/11923uPwbBZFjjGgGUA6NLw09EwE0CqkOc4q9oUmW1yo/edit?usp=sharing"",""เชียงราย!J350"")"),42904)</f>
        <v>42904</v>
      </c>
      <c r="K455" s="371">
        <f ca="1">IF(I455&gt;0,J455*100/I455,0)</f>
        <v>86.722050411335474</v>
      </c>
      <c r="L455" s="372">
        <f ca="1">IFERROR(__xludf.DUMMYFUNCTION("IMPORTRANGE(""https://docs.google.com/spreadsheets/d/11923uPwbBZFjjGgGUA6NLw09EwE0CqkOc4q9oUmW1yo/edit?usp=sharing"",""เชียงราย!L350"")"),536952.7)</f>
        <v>536952.69999999995</v>
      </c>
      <c r="M455" s="372"/>
      <c r="N455" s="372">
        <f ca="1">IFERROR(__xludf.DUMMYFUNCTION("IMPORTRANGE(""https://docs.google.com/spreadsheets/d/11923uPwbBZFjjGgGUA6NLw09EwE0CqkOc4q9oUmW1yo/edit?usp=sharing"",""เชียงราย!M350"")"),192880)</f>
        <v>192880</v>
      </c>
      <c r="O455" s="372">
        <f t="shared" ref="O455:O459" ca="1" si="116">+IF(L455&gt;0,N455*100/L455,0)</f>
        <v>35.92122732598235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IFERROR(__xludf.DUMMYFUNCTION("IMPORTRANGE(""https://docs.google.com/spreadsheets/d/11923uPwbBZFjjGgGUA6NLw09EwE0CqkOc4q9oUmW1yo/edit?usp=sharing"",""เชียงราย!L352"")"),536952.7)</f>
        <v>536952.69999999995</v>
      </c>
      <c r="M457" s="165"/>
      <c r="N457" s="168">
        <f ca="1">IFERROR(__xludf.DUMMYFUNCTION("IMPORTRANGE(""https://docs.google.com/spreadsheets/d/11923uPwbBZFjjGgGUA6NLw09EwE0CqkOc4q9oUmW1yo/edit?usp=sharing"",""เชียงราย!M352"")"),192880)</f>
        <v>192880</v>
      </c>
      <c r="O457" s="168">
        <f t="shared" ca="1" si="116"/>
        <v>35.92122732598235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IFERROR(__xludf.DUMMYFUNCTION("IMPORTRANGE(""https://docs.google.com/spreadsheets/d/11923uPwbBZFjjGgGUA6NLw09EwE0CqkOc4q9oUmW1yo/edit?usp=sharing"",""เชียงราย!L354"")"),536952.7)</f>
        <v>536952.69999999995</v>
      </c>
      <c r="M459" s="168"/>
      <c r="N459" s="168">
        <f ca="1">IFERROR(__xludf.DUMMYFUNCTION("IMPORTRANGE(""https://docs.google.com/spreadsheets/d/11923uPwbBZFjjGgGUA6NLw09EwE0CqkOc4q9oUmW1yo/edit?usp=sharing"",""เชียงราย!M354"")"),192880)</f>
        <v>192880</v>
      </c>
      <c r="O459" s="168">
        <f t="shared" ca="1" si="116"/>
        <v>35.92122732598235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IFERROR(__xludf.DUMMYFUNCTION("IMPORTRANGE(""https://docs.google.com/spreadsheets/d/11923uPwbBZFjjGgGUA6NLw09EwE0CqkOc4q9oUmW1yo/edit?usp=sharing"",""เชียงราย!M357"")"),52500)</f>
        <v>52500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IFERROR(__xludf.DUMMYFUNCTION("IMPORTRANGE(""https://docs.google.com/spreadsheets/d/11923uPwbBZFjjGgGUA6NLw09EwE0CqkOc4q9oUmW1yo/edit?usp=sharing"",""เชียงราย!M358"")"),140380)</f>
        <v>140380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IFERROR(__xludf.DUMMYFUNCTION("IMPORTRANGE(""https://docs.google.com/spreadsheets/d/11923uPwbBZFjjGgGUA6NLw09EwE0CqkOc4q9oUmW1yo/edit?usp=sharing"",""เชียงราย!I359"")"),49473)</f>
        <v>49473</v>
      </c>
      <c r="J464" s="266">
        <f ca="1">IFERROR(__xludf.DUMMYFUNCTION("IMPORTRANGE(""https://docs.google.com/spreadsheets/d/11923uPwbBZFjjGgGUA6NLw09EwE0CqkOc4q9oUmW1yo/edit?usp=sharing"",""เชียงราย!J359"")"),42904)</f>
        <v>42904</v>
      </c>
      <c r="K464" s="267">
        <f t="shared" ref="K464:K515" ca="1" si="117">IF(I464&gt;0,J464*100/I464,0)</f>
        <v>86.722050411335474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IFERROR(__xludf.DUMMYFUNCTION("IMPORTRANGE(""https://docs.google.com/spreadsheets/d/11923uPwbBZFjjGgGUA6NLw09EwE0CqkOc4q9oUmW1yo/edit?usp=sharing"",""เชียงราย!J376"")"),42904)</f>
        <v>42904</v>
      </c>
      <c r="K481" s="201">
        <f t="shared" ca="1" si="117"/>
        <v>86.722050411335474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IFERROR(__xludf.DUMMYFUNCTION("IMPORTRANGE(""https://docs.google.com/spreadsheets/d/11923uPwbBZFjjGgGUA6NLw09EwE0CqkOc4q9oUmW1yo/edit?usp=sharing"",""เชียงราย!J377"")"),8733)</f>
        <v>8733</v>
      </c>
      <c r="K482" s="201">
        <f t="shared" ca="1" si="117"/>
        <v>88.722950320024381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IFERROR(__xludf.DUMMYFUNCTION("IMPORTRANGE(""https://docs.google.com/spreadsheets/d/11923uPwbBZFjjGgGUA6NLw09EwE0CqkOc4q9oUmW1yo/edit?usp=sharing"",""เชียงราย!J378"")"),42904)</f>
        <v>42904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IFERROR(__xludf.DUMMYFUNCTION("IMPORTRANGE(""https://docs.google.com/spreadsheets/d/11923uPwbBZFjjGgGUA6NLw09EwE0CqkOc4q9oUmW1yo/edit?usp=sharing"",""เชียงราย!J379"")"),8733)</f>
        <v>8733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IFERROR(__xludf.DUMMYFUNCTION("IMPORTRANGE(""https://docs.google.com/spreadsheets/d/11923uPwbBZFjjGgGUA6NLw09EwE0CqkOc4q9oUmW1yo/edit?usp=sharing"",""เชียงราย!J392"")"),694)</f>
        <v>694</v>
      </c>
      <c r="K497" s="444">
        <f t="shared" ca="1" si="117"/>
        <v>98.161244695898162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IFERROR(__xludf.DUMMYFUNCTION("IMPORTRANGE(""https://docs.google.com/spreadsheets/d/11923uPwbBZFjjGgGUA6NLw09EwE0CqkOc4q9oUmW1yo/edit?usp=sharing"",""เชียงราย!J393"")"),694)</f>
        <v>694</v>
      </c>
      <c r="K498" s="201">
        <f t="shared" ca="1" si="117"/>
        <v>98.161244695898162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IFERROR(__xludf.DUMMYFUNCTION("IMPORTRANGE(""https://docs.google.com/spreadsheets/d/11923uPwbBZFjjGgGUA6NLw09EwE0CqkOc4q9oUmW1yo/edit?usp=sharing"",""เชียงราย!J394"")"),92)</f>
        <v>92</v>
      </c>
      <c r="K499" s="201">
        <f t="shared" ca="1" si="117"/>
        <v>97.872340425531917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IFERROR(__xludf.DUMMYFUNCTION("IMPORTRANGE(""https://docs.google.com/spreadsheets/d/11923uPwbBZFjjGgGUA6NLw09EwE0CqkOc4q9oUmW1yo/edit?usp=sharing"",""เชียงราย!J395"")"),552)</f>
        <v>552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IFERROR(__xludf.DUMMYFUNCTION("IMPORTRANGE(""https://docs.google.com/spreadsheets/d/11923uPwbBZFjjGgGUA6NLw09EwE0CqkOc4q9oUmW1yo/edit?usp=sharing"",""เชียงราย!J396"")"),73)</f>
        <v>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IFERROR(__xludf.DUMMYFUNCTION("IMPORTRANGE(""https://docs.google.com/spreadsheets/d/11923uPwbBZFjjGgGUA6NLw09EwE0CqkOc4q9oUmW1yo/edit?usp=sharing"",""เชียงราย!J397"")"),552)</f>
        <v>552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IFERROR(__xludf.DUMMYFUNCTION("IMPORTRANGE(""https://docs.google.com/spreadsheets/d/11923uPwbBZFjjGgGUA6NLw09EwE0CqkOc4q9oUmW1yo/edit?usp=sharing"",""เชียงราย!J398"")"),73)</f>
        <v>73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IFERROR(__xludf.DUMMYFUNCTION("IMPORTRANGE(""https://docs.google.com/spreadsheets/d/11923uPwbBZFjjGgGUA6NLw09EwE0CqkOc4q9oUmW1yo/edit?usp=sharing"",""เชียงราย!I411"")"),0)</f>
        <v>0</v>
      </c>
      <c r="J516" s="266">
        <f ca="1">IFERROR(__xludf.DUMMYFUNCTION("IMPORTRANGE(""https://docs.google.com/spreadsheets/d/11923uPwbBZFjjGgGUA6NLw09EwE0CqkOc4q9oUmW1yo/edit?usp=sharing"",""เชียงราย!J411"")"),0)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IFERROR(__xludf.DUMMYFUNCTION("IMPORTRANGE(""https://docs.google.com/spreadsheets/d/11923uPwbBZFjjGgGUA6NLw09EwE0CqkOc4q9oUmW1yo/edit?usp=sharing"",""เชียงราย!I412"")"),0)</f>
        <v>0</v>
      </c>
      <c r="J517" s="283">
        <f ca="1">IFERROR(__xludf.DUMMYFUNCTION("IMPORTRANGE(""https://docs.google.com/spreadsheets/d/11923uPwbBZFjjGgGUA6NLw09EwE0CqkOc4q9oUmW1yo/edit?usp=sharing"",""เชียงราย!J412"")"),0)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IFERROR(__xludf.DUMMYFUNCTION("IMPORTRANGE(""https://docs.google.com/spreadsheets/d/11923uPwbBZFjjGgGUA6NLw09EwE0CqkOc4q9oUmW1yo/edit?usp=sharing"",""เชียงราย!I413"")"),0)</f>
        <v>0</v>
      </c>
      <c r="J518" s="283">
        <f ca="1">IFERROR(__xludf.DUMMYFUNCTION("IMPORTRANGE(""https://docs.google.com/spreadsheets/d/11923uPwbBZFjjGgGUA6NLw09EwE0CqkOc4q9oUmW1yo/edit?usp=sharing"",""เชียงราย!J413"")"),0)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IFERROR(__xludf.DUMMYFUNCTION("IMPORTRANGE(""https://docs.google.com/spreadsheets/d/11923uPwbBZFjjGgGUA6NLw09EwE0CqkOc4q9oUmW1yo/edit?usp=sharing"",""เชียงราย!I420"")"),110)</f>
        <v>110</v>
      </c>
      <c r="J525" s="283">
        <f ca="1">IFERROR(__xludf.DUMMYFUNCTION("IMPORTRANGE(""https://docs.google.com/spreadsheets/d/11923uPwbBZFjjGgGUA6NLw09EwE0CqkOc4q9oUmW1yo/edit?usp=sharing"",""เชียงราย!J420"")"),110)</f>
        <v>110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IFERROR(__xludf.DUMMYFUNCTION("IMPORTRANGE(""https://docs.google.com/spreadsheets/d/11923uPwbBZFjjGgGUA6NLw09EwE0CqkOc4q9oUmW1yo/edit?usp=sharing"",""เชียงราย!I421"")"),15)</f>
        <v>15</v>
      </c>
      <c r="J526" s="283">
        <f ca="1">IFERROR(__xludf.DUMMYFUNCTION("IMPORTRANGE(""https://docs.google.com/spreadsheets/d/11923uPwbBZFjjGgGUA6NLw09EwE0CqkOc4q9oUmW1yo/edit?usp=sharing"",""เชียงราย!J421"")"),15)</f>
        <v>15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IFERROR(__xludf.DUMMYFUNCTION("IMPORTRANGE(""https://docs.google.com/spreadsheets/d/11923uPwbBZFjjGgGUA6NLw09EwE0CqkOc4q9oUmW1yo/edit?usp=sharing"",""เชียงราย!J459"")"),4513)</f>
        <v>4513</v>
      </c>
      <c r="K564" s="371">
        <f ca="1">IF(I564&gt;0,J564*100/I564,0)</f>
        <v>132.73529411764707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IFERROR(__xludf.DUMMYFUNCTION("IMPORTRANGE(""https://docs.google.com/spreadsheets/d/11923uPwbBZFjjGgGUA6NLw09EwE0CqkOc4q9oUmW1yo/edit?usp=sharing"",""เชียงราย!M459"")"),87100)</f>
        <v>87100</v>
      </c>
      <c r="O564" s="372">
        <f t="shared" ref="O564:O568" ca="1" si="122">+IF(L564&gt;0,N564*100/L564,0)</f>
        <v>52.59661835748792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IFERROR(__xludf.DUMMYFUNCTION("IMPORTRANGE(""https://docs.google.com/spreadsheets/d/11923uPwbBZFjjGgGUA6NLw09EwE0CqkOc4q9oUmW1yo/edit?usp=sharing"",""เชียงราย!M461"")"),87100)</f>
        <v>87100</v>
      </c>
      <c r="O566" s="168">
        <f t="shared" ca="1" si="122"/>
        <v>52.59661835748792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IFERROR(__xludf.DUMMYFUNCTION("IMPORTRANGE(""https://docs.google.com/spreadsheets/d/11923uPwbBZFjjGgGUA6NLw09EwE0CqkOc4q9oUmW1yo/edit?usp=sharing"",""เชียงราย!M463"")"),87100)</f>
        <v>87100</v>
      </c>
      <c r="O568" s="168">
        <f t="shared" ca="1" si="122"/>
        <v>52.59661835748792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IFERROR(__xludf.DUMMYFUNCTION("IMPORTRANGE(""https://docs.google.com/spreadsheets/d/11923uPwbBZFjjGgGUA6NLw09EwE0CqkOc4q9oUmW1yo/edit?usp=sharing"",""เชียงราย!M466"")"),52500)</f>
        <v>52500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IFERROR(__xludf.DUMMYFUNCTION("IMPORTRANGE(""https://docs.google.com/spreadsheets/d/11923uPwbBZFjjGgGUA6NLw09EwE0CqkOc4q9oUmW1yo/edit?usp=sharing"",""เชียงราย!M467"")"),34600)</f>
        <v>34600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IFERROR(__xludf.DUMMYFUNCTION("IMPORTRANGE(""https://docs.google.com/spreadsheets/d/11923uPwbBZFjjGgGUA6NLw09EwE0CqkOc4q9oUmW1yo/edit?usp=sharing"",""เชียงราย!J468"")"),4513)</f>
        <v>4513</v>
      </c>
      <c r="K573" s="201">
        <f ca="1">IF(I573&gt;0,J573*100/I573,0)</f>
        <v>132.73529411764707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IFERROR(__xludf.DUMMYFUNCTION("IMPORTRANGE(""https://docs.google.com/spreadsheets/d/11923uPwbBZFjjGgGUA6NLw09EwE0CqkOc4q9oUmW1yo/edit?usp=sharing"",""เชียงราย!J471"")"),239)</f>
        <v>239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IFERROR(__xludf.DUMMYFUNCTION("IMPORTRANGE(""https://docs.google.com/spreadsheets/d/11923uPwbBZFjjGgGUA6NLw09EwE0CqkOc4q9oUmW1yo/edit?usp=sharing"",""เชียงราย!J472"")"),4255)</f>
        <v>4255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IFERROR(__xludf.DUMMYFUNCTION("IMPORTRANGE(""https://docs.google.com/spreadsheets/d/11923uPwbBZFjjGgGUA6NLw09EwE0CqkOc4q9oUmW1yo/edit?usp=sharing"",""เชียงราย!J473"")"),7)</f>
        <v>7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IFERROR(__xludf.DUMMYFUNCTION("IMPORTRANGE(""https://docs.google.com/spreadsheets/d/11923uPwbBZFjjGgGUA6NLw09EwE0CqkOc4q9oUmW1yo/edit?usp=sharing"",""เชียงราย!J474"")"),12)</f>
        <v>12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IFERROR(__xludf.DUMMYFUNCTION("IMPORTRANGE(""https://docs.google.com/spreadsheets/d/11923uPwbBZFjjGgGUA6NLw09EwE0CqkOc4q9oUmW1yo/edit?usp=sharing"",""เชียงราย!I475"")"),176)</f>
        <v>176</v>
      </c>
      <c r="J580" s="370">
        <f ca="1">IFERROR(__xludf.DUMMYFUNCTION("IMPORTRANGE(""https://docs.google.com/spreadsheets/d/11923uPwbBZFjjGgGUA6NLw09EwE0CqkOc4q9oUmW1yo/edit?usp=sharing"",""เชียงราย!J475"")"),4)</f>
        <v>4</v>
      </c>
      <c r="K580" s="371">
        <f ca="1">IF(I580&gt;0,J580*100/I580,0)</f>
        <v>2.2727272727272729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IFERROR(__xludf.DUMMYFUNCTION("IMPORTRANGE(""https://docs.google.com/spreadsheets/d/11923uPwbBZFjjGgGUA6NLw09EwE0CqkOc4q9oUmW1yo/edit?usp=sharing"",""เชียงราย!M475"")"),71947)</f>
        <v>71947</v>
      </c>
      <c r="O580" s="372">
        <f t="shared" ref="O580:O584" ca="1" si="124">+IF(L580&gt;0,N580*100/L580,0)</f>
        <v>20.036705321436131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IFERROR(__xludf.DUMMYFUNCTION("IMPORTRANGE(""https://docs.google.com/spreadsheets/d/11923uPwbBZFjjGgGUA6NLw09EwE0CqkOc4q9oUmW1yo/edit?usp=sharing"",""เชียงราย!M477"")"),71947)</f>
        <v>71947</v>
      </c>
      <c r="O582" s="168">
        <f t="shared" ca="1" si="124"/>
        <v>20.036705321436131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IFERROR(__xludf.DUMMYFUNCTION("IMPORTRANGE(""https://docs.google.com/spreadsheets/d/11923uPwbBZFjjGgGUA6NLw09EwE0CqkOc4q9oUmW1yo/edit?usp=sharing"",""เชียงราย!M479"")"),71947)</f>
        <v>71947</v>
      </c>
      <c r="O584" s="168">
        <f t="shared" ca="1" si="124"/>
        <v>20.036705321436131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IFERROR(__xludf.DUMMYFUNCTION("IMPORTRANGE(""https://docs.google.com/spreadsheets/d/11923uPwbBZFjjGgGUA6NLw09EwE0CqkOc4q9oUmW1yo/edit?usp=sharing"",""เชียงราย!M482"")"),47500)</f>
        <v>47500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IFERROR(__xludf.DUMMYFUNCTION("IMPORTRANGE(""https://docs.google.com/spreadsheets/d/11923uPwbBZFjjGgGUA6NLw09EwE0CqkOc4q9oUmW1yo/edit?usp=sharing"",""เชียงราย!M483"")"),24447)</f>
        <v>24447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IFERROR(__xludf.DUMMYFUNCTION("IMPORTRANGE(""https://docs.google.com/spreadsheets/d/11923uPwbBZFjjGgGUA6NLw09EwE0CqkOc4q9oUmW1yo/edit?usp=sharing"",""เชียงราย!I484"")"),176)</f>
        <v>176</v>
      </c>
      <c r="J589" s="187">
        <f ca="1">IFERROR(__xludf.DUMMYFUNCTION("IMPORTRANGE(""https://docs.google.com/spreadsheets/d/11923uPwbBZFjjGgGUA6NLw09EwE0CqkOc4q9oUmW1yo/edit?usp=sharing"",""เชียงราย!J484"")"),68)</f>
        <v>68</v>
      </c>
      <c r="K589" s="163">
        <f t="shared" ref="K589:K596" ca="1" si="125">IF(I589&gt;0,J589*100/I589,0)</f>
        <v>38.636363636363633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IFERROR(__xludf.DUMMYFUNCTION("IMPORTRANGE(""https://docs.google.com/spreadsheets/d/11923uPwbBZFjjGgGUA6NLw09EwE0CqkOc4q9oUmW1yo/edit?usp=sharing"",""เชียงราย!J485"")"),41.67)</f>
        <v>41.67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IFERROR(__xludf.DUMMYFUNCTION("IMPORTRANGE(""https://docs.google.com/spreadsheets/d/11923uPwbBZFjjGgGUA6NLw09EwE0CqkOc4q9oUmW1yo/edit?usp=sharing"",""เชียงราย!I486"")"),176)</f>
        <v>176</v>
      </c>
      <c r="J591" s="187">
        <f ca="1">IFERROR(__xludf.DUMMYFUNCTION("IMPORTRANGE(""https://docs.google.com/spreadsheets/d/11923uPwbBZFjjGgGUA6NLw09EwE0CqkOc4q9oUmW1yo/edit?usp=sharing"",""เชียงราย!J486"")"),2)</f>
        <v>2</v>
      </c>
      <c r="K591" s="163">
        <f t="shared" ca="1" si="125"/>
        <v>1.1363636363636365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IFERROR(__xludf.DUMMYFUNCTION("IMPORTRANGE(""https://docs.google.com/spreadsheets/d/11923uPwbBZFjjGgGUA6NLw09EwE0CqkOc4q9oUmW1yo/edit?usp=sharing"",""เชียงราย!J487"")"),0.62)</f>
        <v>0.62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IFERROR(__xludf.DUMMYFUNCTION("IMPORTRANGE(""https://docs.google.com/spreadsheets/d/11923uPwbBZFjjGgGUA6NLw09EwE0CqkOc4q9oUmW1yo/edit?usp=sharing"",""เชียงราย!I488"")"),176)</f>
        <v>176</v>
      </c>
      <c r="J593" s="187">
        <f ca="1">IFERROR(__xludf.DUMMYFUNCTION("IMPORTRANGE(""https://docs.google.com/spreadsheets/d/11923uPwbBZFjjGgGUA6NLw09EwE0CqkOc4q9oUmW1yo/edit?usp=sharing"",""เชียงราย!J488"")"),2)</f>
        <v>2</v>
      </c>
      <c r="K593" s="163">
        <f t="shared" ca="1" si="125"/>
        <v>1.1363636363636365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IFERROR(__xludf.DUMMYFUNCTION("IMPORTRANGE(""https://docs.google.com/spreadsheets/d/11923uPwbBZFjjGgGUA6NLw09EwE0CqkOc4q9oUmW1yo/edit?usp=sharing"",""เชียงราย!J489"")"),1.28)</f>
        <v>1.28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IFERROR(__xludf.DUMMYFUNCTION("IMPORTRANGE(""https://docs.google.com/spreadsheets/d/11923uPwbBZFjjGgGUA6NLw09EwE0CqkOc4q9oUmW1yo/edit?usp=sharing"",""เชียงราย!I490"")"),176)</f>
        <v>176</v>
      </c>
      <c r="J595" s="187">
        <f ca="1">IFERROR(__xludf.DUMMYFUNCTION("IMPORTRANGE(""https://docs.google.com/spreadsheets/d/11923uPwbBZFjjGgGUA6NLw09EwE0CqkOc4q9oUmW1yo/edit?usp=sharing"",""เชียงราย!J490"")"),4)</f>
        <v>4</v>
      </c>
      <c r="K595" s="163">
        <f t="shared" ca="1" si="125"/>
        <v>2.2727272727272729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IFERROR(__xludf.DUMMYFUNCTION("IMPORTRANGE(""https://docs.google.com/spreadsheets/d/11923uPwbBZFjjGgGUA6NLw09EwE0CqkOc4q9oUmW1yo/edit?usp=sharing"",""เชียงราย!I491"")"),0)</f>
        <v>0</v>
      </c>
      <c r="J596" s="240">
        <f ca="1">IFERROR(__xludf.DUMMYFUNCTION("IMPORTRANGE(""https://docs.google.com/spreadsheets/d/11923uPwbBZFjjGgGUA6NLw09EwE0CqkOc4q9oUmW1yo/edit?usp=sharing"",""เชียงราย!J491"")"),2.04)</f>
        <v>2.04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IFERROR(__xludf.DUMMYFUNCTION("IMPORTRANGE(""https://docs.google.com/spreadsheets/d/11923uPwbBZFjjGgGUA6NLw09EwE0CqkOc4q9oUmW1yo/edit?usp=sharing"",""เชียงราย!I492"")"),220)</f>
        <v>220</v>
      </c>
      <c r="J597" s="487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IFERROR(__xludf.DUMMYFUNCTION("IMPORTRANGE(""https://docs.google.com/spreadsheets/d/11923uPwbBZFjjGgGUA6NLw09EwE0CqkOc4q9oUmW1yo/edit?usp=sharing"",""เชียงราย!L492"")"),15500)</f>
        <v>15500</v>
      </c>
      <c r="M597" s="411"/>
      <c r="N597" s="411">
        <f ca="1">IFERROR(__xludf.DUMMYFUNCTION("IMPORTRANGE(""https://docs.google.com/spreadsheets/d/11923uPwbBZFjjGgGUA6NLw09EwE0CqkOc4q9oUmW1yo/edit?usp=sharing"",""เชียงราย!M492"")"),2600)</f>
        <v>2600</v>
      </c>
      <c r="O597" s="411">
        <f t="shared" ref="O597:O601" ca="1" si="126">+IF(L597&gt;0,N597*100/L597,0)</f>
        <v>16.774193548387096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IFERROR(__xludf.DUMMYFUNCTION("IMPORTRANGE(""https://docs.google.com/spreadsheets/d/11923uPwbBZFjjGgGUA6NLw09EwE0CqkOc4q9oUmW1yo/edit?usp=sharing"",""เชียงราย!M494"")"),2600)</f>
        <v>2600</v>
      </c>
      <c r="O599" s="168">
        <f t="shared" ca="1" si="126"/>
        <v>16.774193548387096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IFERROR(__xludf.DUMMYFUNCTION("IMPORTRANGE(""https://docs.google.com/spreadsheets/d/11923uPwbBZFjjGgGUA6NLw09EwE0CqkOc4q9oUmW1yo/edit?usp=sharing"",""เชียงราย!M496"")"),2600)</f>
        <v>2600</v>
      </c>
      <c r="O601" s="168">
        <f t="shared" ca="1" si="126"/>
        <v>16.774193548387096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IFERROR(__xludf.DUMMYFUNCTION("IMPORTRANGE(""https://docs.google.com/spreadsheets/d/11923uPwbBZFjjGgGUA6NLw09EwE0CqkOc4q9oUmW1yo/edit?usp=sharing"",""เชียงราย!M500"")"),2600)</f>
        <v>2600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398.18181818181819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398.18181818181819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IFERROR(__xludf.DUMMYFUNCTION("IMPORTRANGE(""https://docs.google.com/spreadsheets/d/11923uPwbBZFjjGgGUA6NLw09EwE0CqkOc4q9oUmW1yo/edit?usp=sharing"",""เชียงราย!I523"")"),7774600)</f>
        <v>7774600</v>
      </c>
      <c r="J628" s="340">
        <f ca="1">IFERROR(__xludf.DUMMYFUNCTION("IMPORTRANGE(""https://docs.google.com/spreadsheets/d/11923uPwbBZFjjGgGUA6NLw09EwE0CqkOc4q9oUmW1yo/edit?usp=sharing"",""เชียงราย!J523"")"),1181200)</f>
        <v>1181200</v>
      </c>
      <c r="K628" s="341">
        <f t="shared" ref="K628:K635" ca="1" si="129">IF(I628&gt;0,J628*100/I628,0)</f>
        <v>15.193064594963085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IFERROR(__xludf.DUMMYFUNCTION("IMPORTRANGE(""https://docs.google.com/spreadsheets/d/11923uPwbBZFjjGgGUA6NLw09EwE0CqkOc4q9oUmW1yo/edit?usp=sharing"",""เชียงราย!I524"")"),325)</f>
        <v>325</v>
      </c>
      <c r="J629" s="340">
        <f ca="1">IFERROR(__xludf.DUMMYFUNCTION("IMPORTRANGE(""https://docs.google.com/spreadsheets/d/11923uPwbBZFjjGgGUA6NLw09EwE0CqkOc4q9oUmW1yo/edit?usp=sharing"",""เชียงราย!J524"")"),43)</f>
        <v>43</v>
      </c>
      <c r="K629" s="341">
        <f t="shared" ca="1" si="129"/>
        <v>13.23076923076923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0">
        <f ca="1">IFERROR(__xludf.DUMMYFUNCTION("IMPORTRANGE(""https://docs.google.com/spreadsheets/d/11923uPwbBZFjjGgGUA6NLw09EwE0CqkOc4q9oUmW1yo/edit?usp=sharing"",""เชียงราย!J525"")"),686218.52)</f>
        <v>686218.52</v>
      </c>
      <c r="K630" s="341">
        <f t="shared" ca="1" si="129"/>
        <v>10.727193232903867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IFERROR(__xludf.DUMMYFUNCTION("IMPORTRANGE(""https://docs.google.com/spreadsheets/d/11923uPwbBZFjjGgGUA6NLw09EwE0CqkOc4q9oUmW1yo/edit?usp=sharing"",""เชียงราย!I526"")"),162)</f>
        <v>162</v>
      </c>
      <c r="J631" s="340">
        <f ca="1">IFERROR(__xludf.DUMMYFUNCTION("IMPORTRANGE(""https://docs.google.com/spreadsheets/d/11923uPwbBZFjjGgGUA6NLw09EwE0CqkOc4q9oUmW1yo/edit?usp=sharing"",""เชียงราย!J526"")"),73)</f>
        <v>73</v>
      </c>
      <c r="K631" s="341">
        <f t="shared" ca="1" si="129"/>
        <v>45.061728395061728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0">
        <f ca="1">IFERROR(__xludf.DUMMYFUNCTION("IMPORTRANGE(""https://docs.google.com/spreadsheets/d/11923uPwbBZFjjGgGUA6NLw09EwE0CqkOc4q9oUmW1yo/edit?usp=sharing"",""เชียงราย!J527"")"),0)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IFERROR(__xludf.DUMMYFUNCTION("IMPORTRANGE(""https://docs.google.com/spreadsheets/d/11923uPwbBZFjjGgGUA6NLw09EwE0CqkOc4q9oUmW1yo/edit?usp=sharing"",""เชียงราย!I528"")"),15)</f>
        <v>15</v>
      </c>
      <c r="J633" s="340">
        <f ca="1">IFERROR(__xludf.DUMMYFUNCTION("IMPORTRANGE(""https://docs.google.com/spreadsheets/d/11923uPwbBZFjjGgGUA6NLw09EwE0CqkOc4q9oUmW1yo/edit?usp=sharing"",""เชียงราย!J528"")"),0)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IFERROR(__xludf.DUMMYFUNCTION("IMPORTRANGE(""https://docs.google.com/spreadsheets/d/11923uPwbBZFjjGgGUA6NLw09EwE0CqkOc4q9oUmW1yo/edit?usp=sharing"",""เชียงราย!I529"")"),4000000)</f>
        <v>4000000</v>
      </c>
      <c r="J634" s="340">
        <f ca="1">IFERROR(__xludf.DUMMYFUNCTION("IMPORTRANGE(""https://docs.google.com/spreadsheets/d/11923uPwbBZFjjGgGUA6NLw09EwE0CqkOc4q9oUmW1yo/edit?usp=sharing"",""เชียงราย!J529"")"),0)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IFERROR(__xludf.DUMMYFUNCTION("IMPORTRANGE(""https://docs.google.com/spreadsheets/d/11923uPwbBZFjjGgGUA6NLw09EwE0CqkOc4q9oUmW1yo/edit?usp=sharing"",""เชียงราย!I530"")"),162)</f>
        <v>162</v>
      </c>
      <c r="J635" s="504">
        <f ca="1">IFERROR(__xludf.DUMMYFUNCTION("IMPORTRANGE(""https://docs.google.com/spreadsheets/d/11923uPwbBZFjjGgGUA6NLw09EwE0CqkOc4q9oUmW1yo/edit?usp=sharing"",""เชียงราย!J530"")"),0)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G570" sqref="G570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242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7351184.4500000002</v>
      </c>
      <c r="M8" s="23">
        <f t="shared" ca="1" si="0"/>
        <v>3738160</v>
      </c>
      <c r="N8" s="23">
        <f t="shared" ca="1" si="0"/>
        <v>3380779.04</v>
      </c>
      <c r="O8" s="22">
        <f t="shared" ref="O8:O16" ca="1" si="1">IF(L8&gt;0,N8*100/L8,0)</f>
        <v>45.989582535913648</v>
      </c>
      <c r="P8" s="22">
        <f t="shared" ref="P8:P16" ca="1" si="2">IF(M8&gt;0,N8*100/M8,0)</f>
        <v>90.439655873477861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7351184.4500000002</v>
      </c>
      <c r="M10" s="30">
        <f t="shared" ca="1" si="4"/>
        <v>3738160</v>
      </c>
      <c r="N10" s="30">
        <f t="shared" ca="1" si="4"/>
        <v>3380779.04</v>
      </c>
      <c r="O10" s="29">
        <f t="shared" ca="1" si="1"/>
        <v>45.989582535913648</v>
      </c>
      <c r="P10" s="29">
        <f t="shared" ca="1" si="2"/>
        <v>90.439655873477861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7039784.4500000002</v>
      </c>
      <c r="M12" s="39">
        <f t="shared" ca="1" si="6"/>
        <v>3426760</v>
      </c>
      <c r="N12" s="39">
        <f t="shared" ca="1" si="6"/>
        <v>3069379.04</v>
      </c>
      <c r="O12" s="39">
        <f t="shared" ca="1" si="1"/>
        <v>43.600469045611192</v>
      </c>
      <c r="P12" s="39">
        <f t="shared" ca="1" si="2"/>
        <v>89.570878614201163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2412000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4627784.45</v>
      </c>
      <c r="M14" s="39">
        <f t="shared" si="8"/>
        <v>0</v>
      </c>
      <c r="N14" s="39">
        <f t="shared" ca="1" si="8"/>
        <v>833963.14</v>
      </c>
      <c r="O14" s="39">
        <f t="shared" ca="1" si="1"/>
        <v>18.02078616690974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4736305</v>
      </c>
      <c r="M18" s="23">
        <f t="shared" ca="1" si="11"/>
        <v>3738160</v>
      </c>
      <c r="N18" s="23">
        <f t="shared" ca="1" si="11"/>
        <v>2546815.9</v>
      </c>
      <c r="O18" s="22">
        <f t="shared" ref="O18:O20" ca="1" si="12">IF(L18&gt;0,N18*100/L18,0)</f>
        <v>53.772210615659255</v>
      </c>
      <c r="P18" s="22">
        <f t="shared" ref="P18:P26" ca="1" si="13">IF(M18&gt;0,N18*100/M18,0)</f>
        <v>68.130200419457708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4736305</v>
      </c>
      <c r="M20" s="30">
        <f t="shared" ca="1" si="15"/>
        <v>3738160</v>
      </c>
      <c r="N20" s="30">
        <f t="shared" ca="1" si="15"/>
        <v>2546815.9</v>
      </c>
      <c r="O20" s="29">
        <f t="shared" ca="1" si="12"/>
        <v>53.772210615659255</v>
      </c>
      <c r="P20" s="29">
        <f t="shared" ca="1" si="13"/>
        <v>68.130200419457708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4424905</v>
      </c>
      <c r="M22" s="42">
        <f t="shared" ca="1" si="18"/>
        <v>3426760</v>
      </c>
      <c r="N22" s="39">
        <f t="shared" ca="1" si="18"/>
        <v>2235415.9</v>
      </c>
      <c r="O22" s="39">
        <f t="shared" ca="1" si="17"/>
        <v>50.518958034127287</v>
      </c>
      <c r="P22" s="39">
        <f t="shared" ca="1" si="13"/>
        <v>65.234095763928607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2412000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2012905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2614879.4500000002</v>
      </c>
      <c r="M28" s="23">
        <f t="shared" si="23"/>
        <v>0</v>
      </c>
      <c r="N28" s="23">
        <f t="shared" ca="1" si="23"/>
        <v>833963.14</v>
      </c>
      <c r="O28" s="22">
        <f t="shared" ref="O28:O30" ca="1" si="24">IF(L28&gt;0,N28*100/L28,0)</f>
        <v>31.892986118346677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2614879.4500000002</v>
      </c>
      <c r="M30" s="30">
        <f t="shared" si="27"/>
        <v>0</v>
      </c>
      <c r="N30" s="30">
        <f t="shared" ca="1" si="27"/>
        <v>833963.14</v>
      </c>
      <c r="O30" s="29">
        <f t="shared" ca="1" si="24"/>
        <v>31.892986118346677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2614879.4500000002</v>
      </c>
      <c r="M32" s="39">
        <f t="shared" si="30"/>
        <v>0</v>
      </c>
      <c r="N32" s="39">
        <f t="shared" ca="1" si="30"/>
        <v>833963.14</v>
      </c>
      <c r="O32" s="39">
        <f t="shared" ca="1" si="29"/>
        <v>31.892986118346677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2614879.4500000002</v>
      </c>
      <c r="M34" s="39">
        <f t="shared" si="32"/>
        <v>0</v>
      </c>
      <c r="N34" s="39">
        <f t="shared" ca="1" si="32"/>
        <v>833963.14</v>
      </c>
      <c r="O34" s="39">
        <f t="shared" ca="1" si="29"/>
        <v>31.892986118346677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4736305</v>
      </c>
      <c r="M37" s="55">
        <f t="shared" ca="1" si="33"/>
        <v>3738160</v>
      </c>
      <c r="N37" s="55">
        <f t="shared" ca="1" si="33"/>
        <v>2546815.9000000004</v>
      </c>
      <c r="O37" s="56">
        <f t="shared" ca="1" si="29"/>
        <v>53.772210615659262</v>
      </c>
      <c r="P37" s="56">
        <f t="shared" ca="1" si="25"/>
        <v>68.130200419457708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707800</v>
      </c>
      <c r="N41" s="79">
        <f t="shared" ca="1" si="34"/>
        <v>747698.96</v>
      </c>
      <c r="O41" s="78">
        <f t="shared" ref="O41:O43" ca="1" si="35">IF(L41&gt;0,N41*100/L41,0)</f>
        <v>84.485758192090401</v>
      </c>
      <c r="P41" s="78">
        <f t="shared" ref="P41:P43" ca="1" si="36">IF(M41&gt;0,N41*100/M41,0)</f>
        <v>105.63703871150042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707800</v>
      </c>
      <c r="N43" s="79">
        <f t="shared" ca="1" si="38"/>
        <v>747698.96</v>
      </c>
      <c r="O43" s="78">
        <f t="shared" ca="1" si="35"/>
        <v>84.485758192090401</v>
      </c>
      <c r="P43" s="78">
        <f t="shared" ca="1" si="36"/>
        <v>105.63703871150042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IFERROR(__xludf.DUMMYFUNCTION("IMPORTRANGE(""https://docs.google.com/spreadsheets/d/1Yj_ptqi66GCucihVvJfMjLAmec39IyEx_6qawtMGysU/edit?usp=sharing"",""สบก!Q22"")"),531800)</f>
        <v>531800</v>
      </c>
      <c r="N45" s="50">
        <f ca="1">IFERROR(__xludf.DUMMYFUNCTION("IMPORTRANGE(""https://docs.google.com/spreadsheets/d/1Yj_ptqi66GCucihVvJfMjLAmec39IyEx_6qawtMGysU/edit?usp=sharing"",""สบก!R22"")"),571698.96)</f>
        <v>571698.96</v>
      </c>
      <c r="O45" s="39">
        <f ca="1">IF(L45&gt;0,N45*100/L45,0)</f>
        <v>80.634550070521868</v>
      </c>
      <c r="P45" s="39">
        <f ca="1">IF(M45&gt;0,N45*100/M45,0)</f>
        <v>107.50262504701016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900000</v>
      </c>
      <c r="M53" s="121">
        <f t="shared" ca="1" si="39"/>
        <v>682230</v>
      </c>
      <c r="N53" s="121">
        <f t="shared" ca="1" si="39"/>
        <v>445608</v>
      </c>
      <c r="O53" s="120">
        <f t="shared" ref="O53:O55" ca="1" si="40">IF(L53&gt;0,N53*100/L53,0)</f>
        <v>49.512</v>
      </c>
      <c r="P53" s="120">
        <f t="shared" ref="P53:P55" ca="1" si="41">IF(M53&gt;0,N53*100/M53,0)</f>
        <v>65.316388901103736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900000</v>
      </c>
      <c r="M55" s="121">
        <f t="shared" ca="1" si="43"/>
        <v>682230</v>
      </c>
      <c r="N55" s="121">
        <f t="shared" ca="1" si="43"/>
        <v>445608</v>
      </c>
      <c r="O55" s="120">
        <f t="shared" ca="1" si="40"/>
        <v>49.512</v>
      </c>
      <c r="P55" s="120">
        <f t="shared" ca="1" si="41"/>
        <v>65.316388901103736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900000</v>
      </c>
      <c r="M57" s="50">
        <f ca="1">IFERROR(__xludf.DUMMYFUNCTION("IMPORTRANGE(""https://docs.google.com/spreadsheets/d/1Yj_ptqi66GCucihVvJfMjLAmec39IyEx_6qawtMGysU/edit?usp=sharing"",""สบก!Z22"")"),682230)</f>
        <v>682230</v>
      </c>
      <c r="N57" s="50">
        <f ca="1">IFERROR(__xludf.DUMMYFUNCTION("IMPORTRANGE(""https://docs.google.com/spreadsheets/d/1Yj_ptqi66GCucihVvJfMjLAmec39IyEx_6qawtMGysU/edit?usp=sharing"",""สบก!AA22"")"),445608)</f>
        <v>445608</v>
      </c>
      <c r="O57" s="39">
        <f ca="1">IF(L57&gt;0,N57*100/L57,0)</f>
        <v>49.512</v>
      </c>
      <c r="P57" s="39">
        <f ca="1">IF(M57&gt;0,N57*100/M57,0)</f>
        <v>65.316388901103736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IFERROR(__xludf.DUMMYFUNCTION("IMPORTRANGE(""https://docs.google.com/spreadsheets/d/1Yj_ptqi66GCucihVvJfMjLAmec39IyEx_6qawtMGysU/edit?usp=sharing"",""สบก!V22"")"),900000)</f>
        <v>900000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486000</v>
      </c>
      <c r="M66" s="152">
        <f t="shared" ca="1" si="45"/>
        <v>413620</v>
      </c>
      <c r="N66" s="152">
        <f t="shared" ca="1" si="45"/>
        <v>252120.27</v>
      </c>
      <c r="O66" s="151">
        <f t="shared" ref="O66:O68" ca="1" si="46">IF(L66&gt;0,N66*100/L66,0)</f>
        <v>51.876598765432099</v>
      </c>
      <c r="P66" s="151">
        <f t="shared" ref="P66:P68" ca="1" si="47">IF(M66&gt;0,N66*100/M66,0)</f>
        <v>60.954564576181035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486000</v>
      </c>
      <c r="M68" s="88">
        <f t="shared" ca="1" si="49"/>
        <v>413620</v>
      </c>
      <c r="N68" s="88">
        <f t="shared" ca="1" si="49"/>
        <v>252120.27</v>
      </c>
      <c r="O68" s="156">
        <f t="shared" ca="1" si="46"/>
        <v>51.876598765432099</v>
      </c>
      <c r="P68" s="156">
        <f t="shared" ca="1" si="47"/>
        <v>60.954564576181035</v>
      </c>
    </row>
    <row r="69" spans="1:16" ht="21.75" customHeight="1" x14ac:dyDescent="0.45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IFERROR(__xludf.DUMMYFUNCTION("IMPORTRANGE(""https://docs.google.com/spreadsheets/d/1Yj_ptqi66GCucihVvJfMjLAmec39IyEx_6qawtMGysU/edit?usp=sharing"",""สบก!AI22"")"),413620)</f>
        <v>413620</v>
      </c>
      <c r="N70" s="168">
        <f ca="1">IFERROR(__xludf.DUMMYFUNCTION("IMPORTRANGE(""https://docs.google.com/spreadsheets/d/1Yj_ptqi66GCucihVvJfMjLAmec39IyEx_6qawtMGysU/edit?usp=sharing"",""สบก!AJ22"")"),252120.27)</f>
        <v>252120.27</v>
      </c>
      <c r="O70" s="168">
        <f ca="1">IF(L70&gt;0,N70*100/L70,0)</f>
        <v>51.876598765432099</v>
      </c>
      <c r="P70" s="168">
        <f ca="1">IF(M70&gt;0,N70*100/M70,0)</f>
        <v>60.954564576181035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IFERROR(__xludf.DUMMYFUNCTION("IMPORTRANGE(""https://docs.google.com/spreadsheets/d/11923uPwbBZFjjGgGUA6NLw09EwE0CqkOc4q9oUmW1yo/edit?usp=sharing"",""เชียงใหม่!I28"")"),0)</f>
        <v>0</v>
      </c>
      <c r="J88" s="203">
        <f ca="1">IFERROR(__xludf.DUMMYFUNCTION("IMPORTRANGE(""https://docs.google.com/spreadsheets/d/11923uPwbBZFjjGgGUA6NLw09EwE0CqkOc4q9oUmW1yo/edit?usp=sharing"",""เชียงใหม่!J28"")"),0)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123420</v>
      </c>
      <c r="O94" s="151">
        <f t="shared" ref="O94:O96" ca="1" si="53">IF(L94&gt;0,N94*100/L94,0)</f>
        <v>57.53846153846154</v>
      </c>
      <c r="P94" s="151">
        <f t="shared" ref="P94:P96" ca="1" si="54">IF(M94&gt;0,N94*100/M94,0)</f>
        <v>57.53846153846154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123420</v>
      </c>
      <c r="O96" s="156">
        <f t="shared" ca="1" si="53"/>
        <v>57.53846153846154</v>
      </c>
      <c r="P96" s="156">
        <f t="shared" ca="1" si="54"/>
        <v>57.53846153846154</v>
      </c>
    </row>
    <row r="97" spans="1:16" ht="21.75" customHeight="1" x14ac:dyDescent="0.45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IFERROR(__xludf.DUMMYFUNCTION("IMPORTRANGE(""https://docs.google.com/spreadsheets/d/1Yj_ptqi66GCucihVvJfMjLAmec39IyEx_6qawtMGysU/edit?usp=sharing"",""สบก!AR22"")"),122100)</f>
        <v>122100</v>
      </c>
      <c r="N98" s="168">
        <f ca="1">IFERROR(__xludf.DUMMYFUNCTION("IMPORTRANGE(""https://docs.google.com/spreadsheets/d/1Yj_ptqi66GCucihVvJfMjLAmec39IyEx_6qawtMGysU/edit?usp=sharing"",""สบก!AS22"")"),31020)</f>
        <v>31020</v>
      </c>
      <c r="O98" s="168">
        <f ca="1">IF(L98&gt;0,N98*100/L98,0)</f>
        <v>25.405405405405407</v>
      </c>
      <c r="P98" s="168">
        <f ca="1">IF(M98&gt;0,N98*100/M98,0)</f>
        <v>25.405405405405407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IFERROR(__xludf.DUMMYFUNCTION("IMPORTRANGE(""https://docs.google.com/spreadsheets/d/11923uPwbBZFjjGgGUA6NLw09EwE0CqkOc4q9oUmW1yo/edit?usp=sharing"",""เชียงใหม่!J50"")"),0)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243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IFERROR(__xludf.DUMMYFUNCTION("IMPORTRANGE(""https://docs.google.com/spreadsheets/d/11923uPwbBZFjjGgGUA6NLw09EwE0CqkOc4q9oUmW1yo/edit?usp=sharing"",""เชียงใหม่!J65"")"),0)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IFERROR(__xludf.DUMMYFUNCTION("IMPORTRANGE(""https://docs.google.com/spreadsheets/d/11923uPwbBZFjjGgGUA6NLw09EwE0CqkOc4q9oUmW1yo/edit?usp=sharing"",""เชียงใหม่!I68"")"),100)</f>
        <v>100</v>
      </c>
      <c r="J138" s="266">
        <f ca="1">IFERROR(__xludf.DUMMYFUNCTION("IMPORTRANGE(""https://docs.google.com/spreadsheets/d/11923uPwbBZFjjGgGUA6NLw09EwE0CqkOc4q9oUmW1yo/edit?usp=sharing"",""เชียงใหม่!J68"")"),100)</f>
        <v>100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891700</v>
      </c>
      <c r="M140" s="152">
        <f t="shared" ca="1" si="64"/>
        <v>711425</v>
      </c>
      <c r="N140" s="152">
        <f t="shared" ca="1" si="64"/>
        <v>376004.43</v>
      </c>
      <c r="O140" s="151">
        <f t="shared" ref="O140:O142" ca="1" si="65">IF(L140&gt;0,N140*100/L140,0)</f>
        <v>42.167144779634405</v>
      </c>
      <c r="P140" s="151">
        <f t="shared" ref="P140:P142" ca="1" si="66">IF(M140&gt;0,N140*100/M140,0)</f>
        <v>52.852293636012227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891700</v>
      </c>
      <c r="M142" s="88">
        <f t="shared" ca="1" si="68"/>
        <v>711425</v>
      </c>
      <c r="N142" s="88">
        <f t="shared" ca="1" si="68"/>
        <v>376004.43</v>
      </c>
      <c r="O142" s="156">
        <f t="shared" ca="1" si="65"/>
        <v>42.167144779634405</v>
      </c>
      <c r="P142" s="156">
        <f t="shared" ca="1" si="66"/>
        <v>52.852293636012227</v>
      </c>
    </row>
    <row r="143" spans="1:16" ht="21.75" customHeight="1" x14ac:dyDescent="0.45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891700</v>
      </c>
      <c r="M144" s="167">
        <f ca="1">IFERROR(__xludf.DUMMYFUNCTION("IMPORTRANGE(""https://docs.google.com/spreadsheets/d/1Yj_ptqi66GCucihVvJfMjLAmec39IyEx_6qawtMGysU/edit?usp=sharing"",""สบก!BJ22"")"),711425)</f>
        <v>711425</v>
      </c>
      <c r="N144" s="168">
        <f ca="1">IFERROR(__xludf.DUMMYFUNCTION("IMPORTRANGE(""https://docs.google.com/spreadsheets/d/1Yj_ptqi66GCucihVvJfMjLAmec39IyEx_6qawtMGysU/edit?usp=sharing"",""สบก!BK22"")"),376004.43)</f>
        <v>376004.43</v>
      </c>
      <c r="O144" s="168">
        <f ca="1">IF(L144&gt;0,N144*100/L144,0)</f>
        <v>42.167144779634405</v>
      </c>
      <c r="P144" s="168">
        <f ca="1">IF(M144&gt;0,N144*100/M144,0)</f>
        <v>52.852293636012227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IFERROR(__xludf.DUMMYFUNCTION("IMPORTRANGE(""https://docs.google.com/spreadsheets/d/1Yj_ptqi66GCucihVvJfMjLAmec39IyEx_6qawtMGysU/edit?usp=sharing"",""สบก!BG22"")"),560300)</f>
        <v>560300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IFERROR(__xludf.DUMMYFUNCTION("IMPORTRANGE(""https://docs.google.com/spreadsheets/d/11923uPwbBZFjjGgGUA6NLw09EwE0CqkOc4q9oUmW1yo/edit?usp=sharing"",""เชียงใหม่!I74"")"),4)</f>
        <v>4</v>
      </c>
      <c r="J149" s="274">
        <f ca="1">IFERROR(__xludf.DUMMYFUNCTION("IMPORTRANGE(""https://docs.google.com/spreadsheets/d/11923uPwbBZFjjGgGUA6NLw09EwE0CqkOc4q9oUmW1yo/edit?usp=sharing"",""เชียงใหม่!J74"")"),2)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IFERROR(__xludf.DUMMYFUNCTION("IMPORTRANGE(""https://docs.google.com/spreadsheets/d/11923uPwbBZFjjGgGUA6NLw09EwE0CqkOc4q9oUmW1yo/edit?usp=sharing"",""เชียงใหม่!J84"")"),53)</f>
        <v>53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IFERROR(__xludf.DUMMYFUNCTION("IMPORTRANGE(""https://docs.google.com/spreadsheets/d/11923uPwbBZFjjGgGUA6NLw09EwE0CqkOc4q9oUmW1yo/edit?usp=sharing"",""เชียงใหม่!J85"")"),53)</f>
        <v>53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IFERROR(__xludf.DUMMYFUNCTION("IMPORTRANGE(""https://docs.google.com/spreadsheets/d/11923uPwbBZFjjGgGUA6NLw09EwE0CqkOc4q9oUmW1yo/edit?usp=sharing"",""เชียงใหม่!I89"")"),2)</f>
        <v>2</v>
      </c>
      <c r="J164" s="283">
        <f ca="1">IFERROR(__xludf.DUMMYFUNCTION("IMPORTRANGE(""https://docs.google.com/spreadsheets/d/11923uPwbBZFjjGgGUA6NLw09EwE0CqkOc4q9oUmW1yo/edit?usp=sharing"",""เชียงใหม่!J89"")"),2)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IFERROR(__xludf.DUMMYFUNCTION("IMPORTRANGE(""https://docs.google.com/spreadsheets/d/11923uPwbBZFjjGgGUA6NLw09EwE0CqkOc4q9oUmW1yo/edit?usp=sharing"",""เชียงใหม่!I101"")"),1)</f>
        <v>1</v>
      </c>
      <c r="J176" s="283">
        <f ca="1">IFERROR(__xludf.DUMMYFUNCTION("IMPORTRANGE(""https://docs.google.com/spreadsheets/d/11923uPwbBZFjjGgGUA6NLw09EwE0CqkOc4q9oUmW1yo/edit?usp=sharing"",""เชียงใหม่!J101"")"),1)</f>
        <v>1</v>
      </c>
      <c r="K176" s="284">
        <f ca="1">IF(I176&gt;0,J176*100/I176,0)</f>
        <v>100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3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IFERROR(__xludf.DUMMYFUNCTION("IMPORTRANGE(""https://docs.google.com/spreadsheets/d/11923uPwbBZFjjGgGUA6NLw09EwE0CqkOc4q9oUmW1yo/edit?usp=sharing"",""เชียงใหม่!J113"")"),0)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IFERROR(__xludf.DUMMYFUNCTION("IMPORTRANGE(""https://docs.google.com/spreadsheets/d/11923uPwbBZFjjGgGUA6NLw09EwE0CqkOc4q9oUmW1yo/edit?usp=sharing"",""เชียงใหม่!I114"")"),16000)</f>
        <v>16000</v>
      </c>
      <c r="J189" s="283">
        <f ca="1">IFERROR(__xludf.DUMMYFUNCTION("IMPORTRANGE(""https://docs.google.com/spreadsheets/d/11923uPwbBZFjjGgGUA6NLw09EwE0CqkOc4q9oUmW1yo/edit?usp=sharing"",""เชียงใหม่!J114"")"),0)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IFERROR(__xludf.DUMMYFUNCTION("IMPORTRANGE(""https://docs.google.com/spreadsheets/d/11923uPwbBZFjjGgGUA6NLw09EwE0CqkOc4q9oUmW1yo/edit?usp=sharing"",""เชียงใหม่!J128"")"),0)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IFERROR(__xludf.DUMMYFUNCTION("IMPORTRANGE(""https://docs.google.com/spreadsheets/d/11923uPwbBZFjjGgGUA6NLw09EwE0CqkOc4q9oUmW1yo/edit?usp=sharing"",""เชียงใหม่!I129"")"),100)</f>
        <v>100</v>
      </c>
      <c r="J204" s="283">
        <f ca="1">IFERROR(__xludf.DUMMYFUNCTION("IMPORTRANGE(""https://docs.google.com/spreadsheets/d/11923uPwbBZFjjGgGUA6NLw09EwE0CqkOc4q9oUmW1yo/edit?usp=sharing"",""เชียงใหม่!J129"")"),100)</f>
        <v>100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IFERROR(__xludf.DUMMYFUNCTION("IMPORTRANGE(""https://docs.google.com/spreadsheets/d/11923uPwbBZFjjGgGUA6NLw09EwE0CqkOc4q9oUmW1yo/edit?usp=sharing"",""เชียงใหม่!J143"")"),0)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IFERROR(__xludf.DUMMYFUNCTION("IMPORTRANGE(""https://docs.google.com/spreadsheets/d/11923uPwbBZFjjGgGUA6NLw09EwE0CqkOc4q9oUmW1yo/edit?usp=sharing"",""เชียงใหม่!I144"")"),15)</f>
        <v>15</v>
      </c>
      <c r="J219" s="266">
        <f ca="1">IFERROR(__xludf.DUMMYFUNCTION("IMPORTRANGE(""https://docs.google.com/spreadsheets/d/11923uPwbBZFjjGgGUA6NLw09EwE0CqkOc4q9oUmW1yo/edit?usp=sharing"",""เชียงใหม่!J144"")"),15)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20125</v>
      </c>
      <c r="O220" s="151">
        <f t="shared" ref="O220:O222" ca="1" si="73">IF(L220&gt;0,N220*100/L220,0)</f>
        <v>95.26627218934911</v>
      </c>
      <c r="P220" s="151">
        <f t="shared" ref="P220:P222" ca="1" si="74">IF(M220&gt;0,N220*100/M220,0)</f>
        <v>95.26627218934911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20125</v>
      </c>
      <c r="O222" s="156">
        <f t="shared" ca="1" si="73"/>
        <v>95.26627218934911</v>
      </c>
      <c r="P222" s="156">
        <f t="shared" ca="1" si="74"/>
        <v>95.26627218934911</v>
      </c>
    </row>
    <row r="223" spans="1:16" ht="21.75" customHeight="1" x14ac:dyDescent="0.45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IFERROR(__xludf.DUMMYFUNCTION("IMPORTRANGE(""https://docs.google.com/spreadsheets/d/1Yj_ptqi66GCucihVvJfMjLAmec39IyEx_6qawtMGysU/edit?usp=sharing"",""สบก!BT22"")"),20125)</f>
        <v>20125</v>
      </c>
      <c r="O224" s="168">
        <f ca="1">IF(L224&gt;0,N224*100/L224,0)</f>
        <v>95.26627218934911</v>
      </c>
      <c r="P224" s="168">
        <f ca="1">IF(M224&gt;0,N224*100/M224,0)</f>
        <v>95.26627218934911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IFERROR(__xludf.DUMMYFUNCTION("IMPORTRANGE(""https://docs.google.com/spreadsheets/d/11923uPwbBZFjjGgGUA6NLw09EwE0CqkOc4q9oUmW1yo/edit?usp=sharing"",""เชียงใหม่!I149"")"),15)</f>
        <v>15</v>
      </c>
      <c r="J229" s="266">
        <f ca="1">IFERROR(__xludf.DUMMYFUNCTION("IMPORTRANGE(""https://docs.google.com/spreadsheets/d/11923uPwbBZFjjGgGUA6NLw09EwE0CqkOc4q9oUmW1yo/edit?usp=sharing"",""เชียงใหม่!J149"")"),15)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IFERROR(__xludf.DUMMYFUNCTION("IMPORTRANGE(""https://docs.google.com/spreadsheets/d/11923uPwbBZFjjGgGUA6NLw09EwE0CqkOc4q9oUmW1yo/edit?usp=sharing"",""เชียงใหม่!J157"")"),0)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IFERROR(__xludf.DUMMYFUNCTION("IMPORTRANGE(""https://docs.google.com/spreadsheets/d/11923uPwbBZFjjGgGUA6NLw09EwE0CqkOc4q9oUmW1yo/edit?usp=sharing"",""เชียงใหม่!I158"")"),0)</f>
        <v>0</v>
      </c>
      <c r="J238" s="266">
        <f ca="1">IFERROR(__xludf.DUMMYFUNCTION("IMPORTRANGE(""https://docs.google.com/spreadsheets/d/11923uPwbBZFjjGgGUA6NLw09EwE0CqkOc4q9oUmW1yo/edit?usp=sharing"",""เชียงใหม่!J158"")"),0)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IFERROR(__xludf.DUMMYFUNCTION("IMPORTRANGE(""https://docs.google.com/spreadsheets/d/11923uPwbBZFjjGgGUA6NLw09EwE0CqkOc4q9oUmW1yo/edit?usp=sharing"",""เชียงใหม่!J166"")"),0)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IFERROR(__xludf.DUMMYFUNCTION("IMPORTRANGE(""https://docs.google.com/spreadsheets/d/11923uPwbBZFjjGgGUA6NLw09EwE0CqkOc4q9oUmW1yo/edit?usp=sharing"",""เชียงใหม่!I169"")"),20)</f>
        <v>20</v>
      </c>
      <c r="J249" s="315">
        <f ca="1">IFERROR(__xludf.DUMMYFUNCTION("IMPORTRANGE(""https://docs.google.com/spreadsheets/d/11923uPwbBZFjjGgGUA6NLw09EwE0CqkOc4q9oUmW1yo/edit?usp=sharing"",""เชียงใหม่!J169"")"),20)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33442</v>
      </c>
      <c r="O250" s="151">
        <f t="shared" ref="O250:O252" ca="1" si="78">IF(L250&gt;0,N250*100/L250,0)</f>
        <v>46.837535014005603</v>
      </c>
      <c r="P250" s="151">
        <f t="shared" ref="P250:P252" ca="1" si="79">IF(M250&gt;0,N250*100/M250,0)</f>
        <v>79.623809523809527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33442</v>
      </c>
      <c r="O252" s="156">
        <f t="shared" ca="1" si="78"/>
        <v>46.837535014005603</v>
      </c>
      <c r="P252" s="156">
        <f t="shared" ca="1" si="79"/>
        <v>79.623809523809527</v>
      </c>
    </row>
    <row r="253" spans="1:16" ht="21.75" customHeight="1" x14ac:dyDescent="0.45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IFERROR(__xludf.DUMMYFUNCTION("IMPORTRANGE(""https://docs.google.com/spreadsheets/d/1Yj_ptqi66GCucihVvJfMjLAmec39IyEx_6qawtMGysU/edit?usp=sharing"",""สบก!CB22"")"),42000)</f>
        <v>42000</v>
      </c>
      <c r="N254" s="168">
        <f ca="1">IFERROR(__xludf.DUMMYFUNCTION("IMPORTRANGE(""https://docs.google.com/spreadsheets/d/1Yj_ptqi66GCucihVvJfMjLAmec39IyEx_6qawtMGysU/edit?usp=sharing"",""สบก!CC22"")"),33442)</f>
        <v>33442</v>
      </c>
      <c r="O254" s="168">
        <f ca="1">IF(L254&gt;0,N254*100/L254,0)</f>
        <v>46.837535014005603</v>
      </c>
      <c r="P254" s="168">
        <f ca="1">IF(M254&gt;0,N254*100/M254,0)</f>
        <v>79.623809523809527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IFERROR(__xludf.DUMMYFUNCTION("IMPORTRANGE(""https://docs.google.com/spreadsheets/d/11923uPwbBZFjjGgGUA6NLw09EwE0CqkOc4q9oUmW1yo/edit?usp=sharing"",""เชียงใหม่!J184"")"),0)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IFERROR(__xludf.DUMMYFUNCTION("IMPORTRANGE(""https://docs.google.com/spreadsheets/d/11923uPwbBZFjjGgGUA6NLw09EwE0CqkOc4q9oUmW1yo/edit?usp=sharing"",""เชียงใหม่!I185"")"),15)</f>
        <v>15</v>
      </c>
      <c r="J270" s="315">
        <f ca="1">IFERROR(__xludf.DUMMYFUNCTION("IMPORTRANGE(""https://docs.google.com/spreadsheets/d/11923uPwbBZFjjGgGUA6NLw09EwE0CqkOc4q9oUmW1yo/edit?usp=sharing"",""เชียงใหม่!J185"")"),15)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59051</v>
      </c>
      <c r="O271" s="151">
        <f t="shared" ref="O271:O273" ca="1" si="84">IF(L271&gt;0,N271*100/L271,0)</f>
        <v>55.866603595080413</v>
      </c>
      <c r="P271" s="151">
        <f t="shared" ref="P271:P273" ca="1" si="85">IF(M271&gt;0,N271*100/M271,0)</f>
        <v>73.813749999999999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80000</v>
      </c>
      <c r="N273" s="88">
        <f t="shared" ca="1" si="87"/>
        <v>59051</v>
      </c>
      <c r="O273" s="156">
        <f t="shared" ca="1" si="84"/>
        <v>55.866603595080413</v>
      </c>
      <c r="P273" s="156">
        <f t="shared" ca="1" si="85"/>
        <v>73.813749999999999</v>
      </c>
    </row>
    <row r="274" spans="1:16" ht="21.75" customHeight="1" x14ac:dyDescent="0.45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IFERROR(__xludf.DUMMYFUNCTION("IMPORTRANGE(""https://docs.google.com/spreadsheets/d/1Yj_ptqi66GCucihVvJfMjLAmec39IyEx_6qawtMGysU/edit?usp=sharing"",""สบก!CK22"")"),80000)</f>
        <v>80000</v>
      </c>
      <c r="N275" s="168">
        <f ca="1">IFERROR(__xludf.DUMMYFUNCTION("IMPORTRANGE(""https://docs.google.com/spreadsheets/d/1Yj_ptqi66GCucihVvJfMjLAmec39IyEx_6qawtMGysU/edit?usp=sharing"",""สบก!CL22"")"),59051)</f>
        <v>59051</v>
      </c>
      <c r="O275" s="168">
        <f ca="1">IF(L275&gt;0,N275*100/L275,0)</f>
        <v>55.866603595080413</v>
      </c>
      <c r="P275" s="168">
        <f ca="1">IF(M275&gt;0,N275*100/M275,0)</f>
        <v>73.813749999999999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IFERROR(__xludf.DUMMYFUNCTION("IMPORTRANGE(""https://docs.google.com/spreadsheets/d/11923uPwbBZFjjGgGUA6NLw09EwE0CqkOc4q9oUmW1yo/edit?usp=sharing"",""เชียงใหม่!I199"")"),0)</f>
        <v>0</v>
      </c>
      <c r="J289" s="315">
        <f ca="1">IFERROR(__xludf.DUMMYFUNCTION("IMPORTRANGE(""https://docs.google.com/spreadsheets/d/11923uPwbBZFjjGgGUA6NLw09EwE0CqkOc4q9oUmW1yo/edit?usp=sharing"",""เชียงใหม่!J199"")"),0)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IFERROR(__xludf.DUMMYFUNCTION("IMPORTRANGE(""https://docs.google.com/spreadsheets/d/11923uPwbBZFjjGgGUA6NLw09EwE0CqkOc4q9oUmW1yo/edit?usp=sharing"",""เชียงใหม่!J213"")"),0)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IFERROR(__xludf.DUMMYFUNCTION("IMPORTRANGE(""https://docs.google.com/spreadsheets/d/11923uPwbBZFjjGgGUA6NLw09EwE0CqkOc4q9oUmW1yo/edit?usp=sharing"",""เชียงใหม่!I214"")"),6)</f>
        <v>6</v>
      </c>
      <c r="J309" s="332">
        <f ca="1">IFERROR(__xludf.DUMMYFUNCTION("IMPORTRANGE(""https://docs.google.com/spreadsheets/d/11923uPwbBZFjjGgGUA6NLw09EwE0CqkOc4q9oUmW1yo/edit?usp=sharing"",""เชียงใหม่!J214"")"),2)</f>
        <v>2</v>
      </c>
      <c r="K309" s="333">
        <f ca="1">IF(I309&gt;0,J309*100/I309,0)</f>
        <v>33.333333333333336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315600</v>
      </c>
      <c r="M310" s="152">
        <f t="shared" ca="1" si="93"/>
        <v>236700</v>
      </c>
      <c r="N310" s="152">
        <f t="shared" ca="1" si="93"/>
        <v>92547.75</v>
      </c>
      <c r="O310" s="151">
        <f t="shared" ref="O310:O312" ca="1" si="94">IF(L310&gt;0,N310*100/L310,0)</f>
        <v>29.324382129277566</v>
      </c>
      <c r="P310" s="151">
        <f t="shared" ref="P310:P312" ca="1" si="95">IF(M310&gt;0,N310*100/M310,0)</f>
        <v>39.099176172370086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315600</v>
      </c>
      <c r="M312" s="88">
        <f t="shared" ca="1" si="97"/>
        <v>236700</v>
      </c>
      <c r="N312" s="88">
        <f t="shared" ca="1" si="97"/>
        <v>92547.75</v>
      </c>
      <c r="O312" s="156">
        <f t="shared" ca="1" si="94"/>
        <v>29.324382129277566</v>
      </c>
      <c r="P312" s="156">
        <f t="shared" ca="1" si="95"/>
        <v>39.099176172370086</v>
      </c>
    </row>
    <row r="313" spans="1:16" ht="21.75" customHeight="1" x14ac:dyDescent="0.45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IFERROR(__xludf.DUMMYFUNCTION("IMPORTRANGE(""https://docs.google.com/spreadsheets/d/1Yj_ptqi66GCucihVvJfMjLAmec39IyEx_6qawtMGysU/edit?usp=sharing"",""สบก!DC22"")"),236700)</f>
        <v>236700</v>
      </c>
      <c r="N314" s="168">
        <f ca="1">IFERROR(__xludf.DUMMYFUNCTION("IMPORTRANGE(""https://docs.google.com/spreadsheets/d/1Yj_ptqi66GCucihVvJfMjLAmec39IyEx_6qawtMGysU/edit?usp=sharing"",""สบก!DD22"")"),92547.75)</f>
        <v>92547.75</v>
      </c>
      <c r="O314" s="168">
        <f ca="1">IF(L314&gt;0,N314*100/L314,0)</f>
        <v>29.324382129277566</v>
      </c>
      <c r="P314" s="168">
        <f ca="1">IF(M314&gt;0,N314*100/M314,0)</f>
        <v>39.099176172370086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IFERROR(__xludf.DUMMYFUNCTION("IMPORTRANGE(""https://docs.google.com/spreadsheets/d/11923uPwbBZFjjGgGUA6NLw09EwE0CqkOc4q9oUmW1yo/edit?usp=sharing"",""เชียงใหม่!J224"")"),2)</f>
        <v>2</v>
      </c>
      <c r="K324" s="223">
        <f ca="1">IF(I324&gt;0,J324*100/I324,0)</f>
        <v>33.333333333333336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IFERROR(__xludf.DUMMYFUNCTION("IMPORTRANGE(""https://docs.google.com/spreadsheets/d/11923uPwbBZFjjGgGUA6NLw09EwE0CqkOc4q9oUmW1yo/edit?usp=sharing"",""เชียงใหม่!J226"")"),0)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IFERROR(__xludf.DUMMYFUNCTION("IMPORTRANGE(""https://docs.google.com/spreadsheets/d/11923uPwbBZFjjGgGUA6NLw09EwE0CqkOc4q9oUmW1yo/edit?usp=sharing"",""เชียงใหม่!I228"")"),315)</f>
        <v>315</v>
      </c>
      <c r="J328" s="338">
        <f ca="1">IFERROR(__xludf.DUMMYFUNCTION("IMPORTRANGE(""https://docs.google.com/spreadsheets/d/11923uPwbBZFjjGgGUA6NLw09EwE0CqkOc4q9oUmW1yo/edit?usp=sharing"",""เชียงใหม่!J228"")"),64)</f>
        <v>64</v>
      </c>
      <c r="K328" s="316">
        <f ca="1">IF(I328&gt;0,J328*100/I328,0)</f>
        <v>20.317460317460316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628760</v>
      </c>
      <c r="N329" s="152">
        <f t="shared" ca="1" si="98"/>
        <v>396798.49</v>
      </c>
      <c r="O329" s="151">
        <f t="shared" ref="O329:O331" ca="1" si="99">IF(L329&gt;0,N329*100/L329,0)</f>
        <v>46.942846157486279</v>
      </c>
      <c r="P329" s="151">
        <f t="shared" ref="P329:P331" ca="1" si="100">IF(M329&gt;0,N329*100/M329,0)</f>
        <v>63.10810006997901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628760</v>
      </c>
      <c r="N331" s="88">
        <f t="shared" ca="1" si="102"/>
        <v>396798.49</v>
      </c>
      <c r="O331" s="156">
        <f t="shared" ca="1" si="99"/>
        <v>46.942846157486279</v>
      </c>
      <c r="P331" s="156">
        <f t="shared" ca="1" si="100"/>
        <v>63.10810006997901</v>
      </c>
    </row>
    <row r="332" spans="1:16" ht="21.75" customHeight="1" x14ac:dyDescent="0.45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IFERROR(__xludf.DUMMYFUNCTION("IMPORTRANGE(""https://docs.google.com/spreadsheets/d/1Yj_ptqi66GCucihVvJfMjLAmec39IyEx_6qawtMGysU/edit?usp=sharing"",""สบก!DL22"")"),585760)</f>
        <v>585760</v>
      </c>
      <c r="N333" s="168">
        <f ca="1">IFERROR(__xludf.DUMMYFUNCTION("IMPORTRANGE(""https://docs.google.com/spreadsheets/d/1Yj_ptqi66GCucihVvJfMjLAmec39IyEx_6qawtMGysU/edit?usp=sharing"",""สบก!DM22"")"),353798.49)</f>
        <v>353798.49</v>
      </c>
      <c r="O333" s="168">
        <f ca="1">IF(L333&gt;0,N333*100/L333,0)</f>
        <v>44.099128733110632</v>
      </c>
      <c r="P333" s="168">
        <f ca="1">IF(M333&gt;0,N333*100/M333,0)</f>
        <v>60.399906104889375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IFERROR(__xludf.DUMMYFUNCTION("IMPORTRANGE(""https://docs.google.com/spreadsheets/d/11923uPwbBZFjjGgGUA6NLw09EwE0CqkOc4q9oUmW1yo/edit?usp=sharing"",""เชียงใหม่!J234"")"),110)</f>
        <v>110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IFERROR(__xludf.DUMMYFUNCTION("IMPORTRANGE(""https://docs.google.com/spreadsheets/d/11923uPwbBZFjjGgGUA6NLw09EwE0CqkOc4q9oUmW1yo/edit?usp=sharing"",""เชียงใหม่!J235"")"),552.81)</f>
        <v>552.80999999999995</v>
      </c>
      <c r="K340" s="341">
        <f t="shared" ca="1" si="103"/>
        <v>52.151886792452821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IFERROR(__xludf.DUMMYFUNCTION("IMPORTRANGE(""https://docs.google.com/spreadsheets/d/11923uPwbBZFjjGgGUA6NLw09EwE0CqkOc4q9oUmW1yo/edit?usp=sharing"",""เชียงใหม่!J236"")"),161)</f>
        <v>161</v>
      </c>
      <c r="K341" s="341">
        <f t="shared" ca="1" si="103"/>
        <v>51.111111111111114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IFERROR(__xludf.DUMMYFUNCTION("IMPORTRANGE(""https://docs.google.com/spreadsheets/d/11923uPwbBZFjjGgGUA6NLw09EwE0CqkOc4q9oUmW1yo/edit?usp=sharing"",""เชียงใหม่!J237"")"),941.21)</f>
        <v>941.21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IFERROR(__xludf.DUMMYFUNCTION("IMPORTRANGE(""https://docs.google.com/spreadsheets/d/11923uPwbBZFjjGgGUA6NLw09EwE0CqkOc4q9oUmW1yo/edit?usp=sharing"",""เชียงใหม่!J240"")"),64)</f>
        <v>64</v>
      </c>
      <c r="K345" s="341">
        <f t="shared" ca="1" si="103"/>
        <v>20.317460317460316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IFERROR(__xludf.DUMMYFUNCTION("IMPORTRANGE(""https://docs.google.com/spreadsheets/d/11923uPwbBZFjjGgGUA6NLw09EwE0CqkOc4q9oUmW1yo/edit?usp=sharing"",""เชียงใหม่!J241"")"),331.58)</f>
        <v>331.58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IFERROR(__xludf.DUMMYFUNCTION("IMPORTRANGE(""https://docs.google.com/spreadsheets/d/11923uPwbBZFjjGgGUA6NLw09EwE0CqkOc4q9oUmW1yo/edit?usp=sharing"",""เชียงใหม่!L242"")"),2614879.45)</f>
        <v>2614879.4500000002</v>
      </c>
      <c r="M347" s="357"/>
      <c r="N347" s="357">
        <f ca="1">IFERROR(__xludf.DUMMYFUNCTION("IMPORTRANGE(""https://docs.google.com/spreadsheets/d/11923uPwbBZFjjGgGUA6NLw09EwE0CqkOc4q9oUmW1yo/edit?usp=sharing"",""เชียงใหม่!M242"")"),833963.14)</f>
        <v>833963.14</v>
      </c>
      <c r="O347" s="357">
        <f ca="1">+IF(L347&gt;0,N347*100/L347,0)</f>
        <v>31.892986118346677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IFERROR(__xludf.DUMMYFUNCTION("IMPORTRANGE(""https://docs.google.com/spreadsheets/d/11923uPwbBZFjjGgGUA6NLw09EwE0CqkOc4q9oUmW1yo/edit?usp=sharing"",""เชียงใหม่!M244"")"),210792.58)</f>
        <v>210792.58</v>
      </c>
      <c r="O349" s="372">
        <f ca="1">+IF(L349&gt;0,N349*100/L349,0)</f>
        <v>66.337040533736157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IFERROR(__xludf.DUMMYFUNCTION("IMPORTRANGE(""https://docs.google.com/spreadsheets/d/11923uPwbBZFjjGgGUA6NLw09EwE0CqkOc4q9oUmW1yo/edit?usp=sharing"",""เชียงใหม่!M247"")"),210792.58)</f>
        <v>210792.58</v>
      </c>
      <c r="O352" s="165">
        <f t="shared" ca="1" si="105"/>
        <v>66.337040533736157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IFERROR(__xludf.DUMMYFUNCTION("IMPORTRANGE(""https://docs.google.com/spreadsheets/d/11923uPwbBZFjjGgGUA6NLw09EwE0CqkOc4q9oUmW1yo/edit?usp=sharing"",""เชียงใหม่!M249"")"),210792.58)</f>
        <v>210792.58</v>
      </c>
      <c r="O354" s="168">
        <f t="shared" ca="1" si="105"/>
        <v>66.337040533736157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IFERROR(__xludf.DUMMYFUNCTION("IMPORTRANGE(""https://docs.google.com/spreadsheets/d/11923uPwbBZFjjGgGUA6NLw09EwE0CqkOc4q9oUmW1yo/edit?usp=sharing"",""เชียงใหม่!M252"")"),64225.58)</f>
        <v>64225.58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IFERROR(__xludf.DUMMYFUNCTION("IMPORTRANGE(""https://docs.google.com/spreadsheets/d/11923uPwbBZFjjGgGUA6NLw09EwE0CqkOc4q9oUmW1yo/edit?usp=sharing"",""เชียงใหม่!M253"")"),6567)</f>
        <v>6567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IFERROR(__xludf.DUMMYFUNCTION("IMPORTRANGE(""https://docs.google.com/spreadsheets/d/11923uPwbBZFjjGgGUA6NLw09EwE0CqkOc4q9oUmW1yo/edit?usp=sharing"",""เชียงใหม่!M275"")"),150642.58)</f>
        <v>150642.57999999999</v>
      </c>
      <c r="O380" s="372">
        <f ca="1">+IF(L380&gt;0,N380*100/L380,0)</f>
        <v>14.646538715824679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IFERROR(__xludf.DUMMYFUNCTION("IMPORTRANGE(""https://docs.google.com/spreadsheets/d/11923uPwbBZFjjGgGUA6NLw09EwE0CqkOc4q9oUmW1yo/edit?usp=sharing"",""เชียงใหม่!M278"")"),150642.58)</f>
        <v>150642.57999999999</v>
      </c>
      <c r="O383" s="165">
        <f t="shared" ca="1" si="109"/>
        <v>14.646538715824679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IFERROR(__xludf.DUMMYFUNCTION("IMPORTRANGE(""https://docs.google.com/spreadsheets/d/11923uPwbBZFjjGgGUA6NLw09EwE0CqkOc4q9oUmW1yo/edit?usp=sharing"",""เชียงใหม่!M280"")"),150642.58)</f>
        <v>150642.57999999999</v>
      </c>
      <c r="O385" s="168">
        <f t="shared" ca="1" si="109"/>
        <v>14.646538715824679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IFERROR(__xludf.DUMMYFUNCTION("IMPORTRANGE(""https://docs.google.com/spreadsheets/d/11923uPwbBZFjjGgGUA6NLw09EwE0CqkOc4q9oUmW1yo/edit?usp=sharing"",""เชียงใหม่!M281"")"),79000)</f>
        <v>79000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IFERROR(__xludf.DUMMYFUNCTION("IMPORTRANGE(""https://docs.google.com/spreadsheets/d/11923uPwbBZFjjGgGUA6NLw09EwE0CqkOc4q9oUmW1yo/edit?usp=sharing"",""เชียงใหม่!M283"")"),64225.58)</f>
        <v>64225.58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IFERROR(__xludf.DUMMYFUNCTION("IMPORTRANGE(""https://docs.google.com/spreadsheets/d/11923uPwbBZFjjGgGUA6NLw09EwE0CqkOc4q9oUmW1yo/edit?usp=sharing"",""เชียงใหม่!M284"")"),7417)</f>
        <v>7417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IFERROR(__xludf.DUMMYFUNCTION("IMPORTRANGE(""https://docs.google.com/spreadsheets/d/11923uPwbBZFjjGgGUA6NLw09EwE0CqkOc4q9oUmW1yo/edit?usp=sharing"",""เชียงใหม่!M296"")"),87215)</f>
        <v>87215</v>
      </c>
      <c r="O401" s="372">
        <f ca="1">+IF(L401&gt;0,N401*100/L401,0)</f>
        <v>66.217447422367329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IFERROR(__xludf.DUMMYFUNCTION("IMPORTRANGE(""https://docs.google.com/spreadsheets/d/11923uPwbBZFjjGgGUA6NLw09EwE0CqkOc4q9oUmW1yo/edit?usp=sharing"",""เชียงใหม่!M299"")"),87215)</f>
        <v>87215</v>
      </c>
      <c r="O404" s="168">
        <f t="shared" ca="1" si="112"/>
        <v>66.217447422367329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IFERROR(__xludf.DUMMYFUNCTION("IMPORTRANGE(""https://docs.google.com/spreadsheets/d/11923uPwbBZFjjGgGUA6NLw09EwE0CqkOc4q9oUmW1yo/edit?usp=sharing"",""เชียงใหม่!M301"")"),87215)</f>
        <v>87215</v>
      </c>
      <c r="O406" s="168">
        <f t="shared" ca="1" si="112"/>
        <v>66.217447422367329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IFERROR(__xludf.DUMMYFUNCTION("IMPORTRANGE(""https://docs.google.com/spreadsheets/d/11923uPwbBZFjjGgGUA6NLw09EwE0CqkOc4q9oUmW1yo/edit?usp=sharing"",""เชียงใหม่!M302"")"),74225)</f>
        <v>74225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IFERROR(__xludf.DUMMYFUNCTION("IMPORTRANGE(""https://docs.google.com/spreadsheets/d/11923uPwbBZFjjGgGUA6NLw09EwE0CqkOc4q9oUmW1yo/edit?usp=sharing"",""เชียงใหม่!M305"")"),12990)</f>
        <v>12990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IFERROR(__xludf.DUMMYFUNCTION("IMPORTRANGE(""https://docs.google.com/spreadsheets/d/11923uPwbBZFjjGgGUA6NLw09EwE0CqkOc4q9oUmW1yo/edit?usp=sharing"",""เชียงใหม่!M330"")"),37905)</f>
        <v>37905</v>
      </c>
      <c r="O435" s="411">
        <f t="shared" ref="O435:O439" ca="1" si="114">+IF(L435&gt;0,N435*100/L435,0)</f>
        <v>37.905000000000001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IFERROR(__xludf.DUMMYFUNCTION("IMPORTRANGE(""https://docs.google.com/spreadsheets/d/11923uPwbBZFjjGgGUA6NLw09EwE0CqkOc4q9oUmW1yo/edit?usp=sharing"",""เชียงใหม่!M332"")"),37905)</f>
        <v>37905</v>
      </c>
      <c r="O437" s="168">
        <f t="shared" ca="1" si="114"/>
        <v>37.905000000000001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IFERROR(__xludf.DUMMYFUNCTION("IMPORTRANGE(""https://docs.google.com/spreadsheets/d/11923uPwbBZFjjGgGUA6NLw09EwE0CqkOc4q9oUmW1yo/edit?usp=sharing"",""เชียงใหม่!M334"")"),37905)</f>
        <v>37905</v>
      </c>
      <c r="O439" s="168">
        <f t="shared" ca="1" si="114"/>
        <v>37.905000000000001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IFERROR(__xludf.DUMMYFUNCTION("IMPORTRANGE(""https://docs.google.com/spreadsheets/d/11923uPwbBZFjjGgGUA6NLw09EwE0CqkOc4q9oUmW1yo/edit?usp=sharing"",""เชียงใหม่!M335"")"),22395)</f>
        <v>22395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IFERROR(__xludf.DUMMYFUNCTION("IMPORTRANGE(""https://docs.google.com/spreadsheets/d/11923uPwbBZFjjGgGUA6NLw09EwE0CqkOc4q9oUmW1yo/edit?usp=sharing"",""เชียงใหม่!M338"")"),15510)</f>
        <v>15510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IFERROR(__xludf.DUMMYFUNCTION("IMPORTRANGE(""https://docs.google.com/spreadsheets/d/11923uPwbBZFjjGgGUA6NLw09EwE0CqkOc4q9oUmW1yo/edit?usp=sharing"",""เชียงใหม่!J350"")"),9322)</f>
        <v>9322</v>
      </c>
      <c r="K455" s="371">
        <f ca="1">IF(I455&gt;0,J455*100/I455,0)</f>
        <v>47.886166332768276</v>
      </c>
      <c r="L455" s="372">
        <f ca="1">IFERROR(__xludf.DUMMYFUNCTION("IMPORTRANGE(""https://docs.google.com/spreadsheets/d/11923uPwbBZFjjGgGUA6NLw09EwE0CqkOc4q9oUmW1yo/edit?usp=sharing"",""เชียงใหม่!L350"")"),516139.45)</f>
        <v>516139.45</v>
      </c>
      <c r="M455" s="372"/>
      <c r="N455" s="372">
        <f ca="1">IFERROR(__xludf.DUMMYFUNCTION("IMPORTRANGE(""https://docs.google.com/spreadsheets/d/11923uPwbBZFjjGgGUA6NLw09EwE0CqkOc4q9oUmW1yo/edit?usp=sharing"",""เชียงใหม่!M350"")"),209901.58)</f>
        <v>209901.58</v>
      </c>
      <c r="O455" s="372">
        <f t="shared" ref="O455:O459" ca="1" si="116">+IF(L455&gt;0,N455*100/L455,0)</f>
        <v>40.667610274703861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IFERROR(__xludf.DUMMYFUNCTION("IMPORTRANGE(""https://docs.google.com/spreadsheets/d/11923uPwbBZFjjGgGUA6NLw09EwE0CqkOc4q9oUmW1yo/edit?usp=sharing"",""เชียงใหม่!L352"")"),516139.45)</f>
        <v>516139.45</v>
      </c>
      <c r="M457" s="165"/>
      <c r="N457" s="168">
        <f ca="1">IFERROR(__xludf.DUMMYFUNCTION("IMPORTRANGE(""https://docs.google.com/spreadsheets/d/11923uPwbBZFjjGgGUA6NLw09EwE0CqkOc4q9oUmW1yo/edit?usp=sharing"",""เชียงใหม่!M352"")"),209901.58)</f>
        <v>209901.58</v>
      </c>
      <c r="O457" s="168">
        <f t="shared" ca="1" si="116"/>
        <v>40.667610274703861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IFERROR(__xludf.DUMMYFUNCTION("IMPORTRANGE(""https://docs.google.com/spreadsheets/d/11923uPwbBZFjjGgGUA6NLw09EwE0CqkOc4q9oUmW1yo/edit?usp=sharing"",""เชียงใหม่!L354"")"),516139.45)</f>
        <v>516139.45</v>
      </c>
      <c r="M459" s="168"/>
      <c r="N459" s="168">
        <f ca="1">IFERROR(__xludf.DUMMYFUNCTION("IMPORTRANGE(""https://docs.google.com/spreadsheets/d/11923uPwbBZFjjGgGUA6NLw09EwE0CqkOc4q9oUmW1yo/edit?usp=sharing"",""เชียงใหม่!M354"")"),209901.58)</f>
        <v>209901.58</v>
      </c>
      <c r="O459" s="168">
        <f t="shared" ca="1" si="116"/>
        <v>40.667610274703861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IFERROR(__xludf.DUMMYFUNCTION("IMPORTRANGE(""https://docs.google.com/spreadsheets/d/11923uPwbBZFjjGgGUA6NLw09EwE0CqkOc4q9oUmW1yo/edit?usp=sharing"",""เชียงใหม่!M357"")"),64225.58)</f>
        <v>64225.58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IFERROR(__xludf.DUMMYFUNCTION("IMPORTRANGE(""https://docs.google.com/spreadsheets/d/11923uPwbBZFjjGgGUA6NLw09EwE0CqkOc4q9oUmW1yo/edit?usp=sharing"",""เชียงใหม่!M358"")"),145676)</f>
        <v>145676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IFERROR(__xludf.DUMMYFUNCTION("IMPORTRANGE(""https://docs.google.com/spreadsheets/d/11923uPwbBZFjjGgGUA6NLw09EwE0CqkOc4q9oUmW1yo/edit?usp=sharing"",""เชียงใหม่!I359"")"),19467)</f>
        <v>19467</v>
      </c>
      <c r="J464" s="266">
        <f ca="1">IFERROR(__xludf.DUMMYFUNCTION("IMPORTRANGE(""https://docs.google.com/spreadsheets/d/11923uPwbBZFjjGgGUA6NLw09EwE0CqkOc4q9oUmW1yo/edit?usp=sharing"",""เชียงใหม่!J359"")"),9322)</f>
        <v>9322</v>
      </c>
      <c r="K464" s="267">
        <f t="shared" ref="K464:K515" ca="1" si="117">IF(I464&gt;0,J464*100/I464,0)</f>
        <v>47.886166332768276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IFERROR(__xludf.DUMMYFUNCTION("IMPORTRANGE(""https://docs.google.com/spreadsheets/d/11923uPwbBZFjjGgGUA6NLw09EwE0CqkOc4q9oUmW1yo/edit?usp=sharing"",""เชียงใหม่!J376"")"),9322)</f>
        <v>9322</v>
      </c>
      <c r="K481" s="201">
        <f t="shared" ca="1" si="117"/>
        <v>47.886166332768276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IFERROR(__xludf.DUMMYFUNCTION("IMPORTRANGE(""https://docs.google.com/spreadsheets/d/11923uPwbBZFjjGgGUA6NLw09EwE0CqkOc4q9oUmW1yo/edit?usp=sharing"",""เชียงใหม่!J377"")"),2393)</f>
        <v>2393</v>
      </c>
      <c r="K482" s="201">
        <f t="shared" ca="1" si="117"/>
        <v>54.460628129267185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IFERROR(__xludf.DUMMYFUNCTION("IMPORTRANGE(""https://docs.google.com/spreadsheets/d/11923uPwbBZFjjGgGUA6NLw09EwE0CqkOc4q9oUmW1yo/edit?usp=sharing"",""เชียงใหม่!J378"")"),9322)</f>
        <v>9322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IFERROR(__xludf.DUMMYFUNCTION("IMPORTRANGE(""https://docs.google.com/spreadsheets/d/11923uPwbBZFjjGgGUA6NLw09EwE0CqkOc4q9oUmW1yo/edit?usp=sharing"",""เชียงใหม่!J379"")"),2393)</f>
        <v>2393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IFERROR(__xludf.DUMMYFUNCTION("IMPORTRANGE(""https://docs.google.com/spreadsheets/d/11923uPwbBZFjjGgGUA6NLw09EwE0CqkOc4q9oUmW1yo/edit?usp=sharing"",""เชียงใหม่!J392"")"),1642.1)</f>
        <v>1642.1</v>
      </c>
      <c r="K497" s="444">
        <f t="shared" ca="1" si="117"/>
        <v>32.254959732861913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IFERROR(__xludf.DUMMYFUNCTION("IMPORTRANGE(""https://docs.google.com/spreadsheets/d/11923uPwbBZFjjGgGUA6NLw09EwE0CqkOc4q9oUmW1yo/edit?usp=sharing"",""เชียงใหม่!J393"")"),1642.1)</f>
        <v>1642.1</v>
      </c>
      <c r="K498" s="201">
        <f t="shared" ca="1" si="117"/>
        <v>32.254959732861913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IFERROR(__xludf.DUMMYFUNCTION("IMPORTRANGE(""https://docs.google.com/spreadsheets/d/11923uPwbBZFjjGgGUA6NLw09EwE0CqkOc4q9oUmW1yo/edit?usp=sharing"",""เชียงใหม่!J394"")"),196)</f>
        <v>196</v>
      </c>
      <c r="K499" s="201">
        <f t="shared" ca="1" si="117"/>
        <v>31.160572337042925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IFERROR(__xludf.DUMMYFUNCTION("IMPORTRANGE(""https://docs.google.com/spreadsheets/d/11923uPwbBZFjjGgGUA6NLw09EwE0CqkOc4q9oUmW1yo/edit?usp=sharing"",""เชียงใหม่!J395"")"),1381)</f>
        <v>1381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IFERROR(__xludf.DUMMYFUNCTION("IMPORTRANGE(""https://docs.google.com/spreadsheets/d/11923uPwbBZFjjGgGUA6NLw09EwE0CqkOc4q9oUmW1yo/edit?usp=sharing"",""เชียงใหม่!J396"")"),168)</f>
        <v>168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IFERROR(__xludf.DUMMYFUNCTION("IMPORTRANGE(""https://docs.google.com/spreadsheets/d/11923uPwbBZFjjGgGUA6NLw09EwE0CqkOc4q9oUmW1yo/edit?usp=sharing"",""เชียงใหม่!J397"")"),482)</f>
        <v>482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IFERROR(__xludf.DUMMYFUNCTION("IMPORTRANGE(""https://docs.google.com/spreadsheets/d/11923uPwbBZFjjGgGUA6NLw09EwE0CqkOc4q9oUmW1yo/edit?usp=sharing"",""เชียงใหม่!J398"")"),40)</f>
        <v>40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IFERROR(__xludf.DUMMYFUNCTION("IMPORTRANGE(""https://docs.google.com/spreadsheets/d/11923uPwbBZFjjGgGUA6NLw09EwE0CqkOc4q9oUmW1yo/edit?usp=sharing"",""เชียงใหม่!J399"")"),899)</f>
        <v>899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IFERROR(__xludf.DUMMYFUNCTION("IMPORTRANGE(""https://docs.google.com/spreadsheets/d/11923uPwbBZFjjGgGUA6NLw09EwE0CqkOc4q9oUmW1yo/edit?usp=sharing"",""เชียงใหม่!J400"")"),128)</f>
        <v>128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IFERROR(__xludf.DUMMYFUNCTION("IMPORTRANGE(""https://docs.google.com/spreadsheets/d/11923uPwbBZFjjGgGUA6NLw09EwE0CqkOc4q9oUmW1yo/edit?usp=sharing"",""เชียงใหม่!J403"")"),13.1)</f>
        <v>13.1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IFERROR(__xludf.DUMMYFUNCTION("IMPORTRANGE(""https://docs.google.com/spreadsheets/d/11923uPwbBZFjjGgGUA6NLw09EwE0CqkOc4q9oUmW1yo/edit?usp=sharing"",""เชียงใหม่!J404"")"),6)</f>
        <v>6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14">
        <f ca="1">IFERROR(__xludf.DUMMYFUNCTION("IMPORTRANGE(""https://docs.google.com/spreadsheets/d/11923uPwbBZFjjGgGUA6NLw09EwE0CqkOc4q9oUmW1yo/edit?usp=sharing"",""เชียงใหม่!J405"")"),0.1)</f>
        <v>0.1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IFERROR(__xludf.DUMMYFUNCTION("IMPORTRANGE(""https://docs.google.com/spreadsheets/d/11923uPwbBZFjjGgGUA6NLw09EwE0CqkOc4q9oUmW1yo/edit?usp=sharing"",""เชียงใหม่!J409"")"),248)</f>
        <v>248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IFERROR(__xludf.DUMMYFUNCTION("IMPORTRANGE(""https://docs.google.com/spreadsheets/d/11923uPwbBZFjjGgGUA6NLw09EwE0CqkOc4q9oUmW1yo/edit?usp=sharing"",""เชียงใหม่!J410"")"),22)</f>
        <v>22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IFERROR(__xludf.DUMMYFUNCTION("IMPORTRANGE(""https://docs.google.com/spreadsheets/d/11923uPwbBZFjjGgGUA6NLw09EwE0CqkOc4q9oUmW1yo/edit?usp=sharing"",""เชียงใหม่!I411"")"),0)</f>
        <v>0</v>
      </c>
      <c r="J516" s="266">
        <f ca="1">IFERROR(__xludf.DUMMYFUNCTION("IMPORTRANGE(""https://docs.google.com/spreadsheets/d/11923uPwbBZFjjGgGUA6NLw09EwE0CqkOc4q9oUmW1yo/edit?usp=sharing"",""เชียงใหม่!J411"")"),0)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IFERROR(__xludf.DUMMYFUNCTION("IMPORTRANGE(""https://docs.google.com/spreadsheets/d/11923uPwbBZFjjGgGUA6NLw09EwE0CqkOc4q9oUmW1yo/edit?usp=sharing"",""เชียงใหม่!I412"")"),0)</f>
        <v>0</v>
      </c>
      <c r="J517" s="283">
        <f ca="1">IFERROR(__xludf.DUMMYFUNCTION("IMPORTRANGE(""https://docs.google.com/spreadsheets/d/11923uPwbBZFjjGgGUA6NLw09EwE0CqkOc4q9oUmW1yo/edit?usp=sharing"",""เชียงใหม่!J412"")"),0)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IFERROR(__xludf.DUMMYFUNCTION("IMPORTRANGE(""https://docs.google.com/spreadsheets/d/11923uPwbBZFjjGgGUA6NLw09EwE0CqkOc4q9oUmW1yo/edit?usp=sharing"",""เชียงใหม่!I413"")"),0)</f>
        <v>0</v>
      </c>
      <c r="J518" s="283">
        <f ca="1">IFERROR(__xludf.DUMMYFUNCTION("IMPORTRANGE(""https://docs.google.com/spreadsheets/d/11923uPwbBZFjjGgGUA6NLw09EwE0CqkOc4q9oUmW1yo/edit?usp=sharing"",""เชียงใหม่!J413"")"),0)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IFERROR(__xludf.DUMMYFUNCTION("IMPORTRANGE(""https://docs.google.com/spreadsheets/d/11923uPwbBZFjjGgGUA6NLw09EwE0CqkOc4q9oUmW1yo/edit?usp=sharing"",""เชียงใหม่!I420"")"),59)</f>
        <v>59</v>
      </c>
      <c r="J525" s="283">
        <f ca="1">IFERROR(__xludf.DUMMYFUNCTION("IMPORTRANGE(""https://docs.google.com/spreadsheets/d/11923uPwbBZFjjGgGUA6NLw09EwE0CqkOc4q9oUmW1yo/edit?usp=sharing"",""เชียงใหม่!J420"")"),0)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IFERROR(__xludf.DUMMYFUNCTION("IMPORTRANGE(""https://docs.google.com/spreadsheets/d/11923uPwbBZFjjGgGUA6NLw09EwE0CqkOc4q9oUmW1yo/edit?usp=sharing"",""เชียงใหม่!I421"")"),15)</f>
        <v>15</v>
      </c>
      <c r="J526" s="283">
        <f ca="1">IFERROR(__xludf.DUMMYFUNCTION("IMPORTRANGE(""https://docs.google.com/spreadsheets/d/11923uPwbBZFjjGgGUA6NLw09EwE0CqkOc4q9oUmW1yo/edit?usp=sharing"",""เชียงใหม่!J421"")"),0)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IFERROR(__xludf.DUMMYFUNCTION("IMPORTRANGE(""https://docs.google.com/spreadsheets/d/11923uPwbBZFjjGgGUA6NLw09EwE0CqkOc4q9oUmW1yo/edit?usp=sharing"",""เชียงใหม่!M428"")"),26444)</f>
        <v>26444</v>
      </c>
      <c r="O533" s="411">
        <f t="shared" ref="O533:O537" ca="1" si="118">+IF(L533&gt;0,N533*100/L533,0)</f>
        <v>70.068892421833596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IFERROR(__xludf.DUMMYFUNCTION("IMPORTRANGE(""https://docs.google.com/spreadsheets/d/11923uPwbBZFjjGgGUA6NLw09EwE0CqkOc4q9oUmW1yo/edit?usp=sharing"",""เชียงใหม่!M430"")"),26444)</f>
        <v>26444</v>
      </c>
      <c r="O535" s="168">
        <f t="shared" ca="1" si="118"/>
        <v>70.068892421833596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IFERROR(__xludf.DUMMYFUNCTION("IMPORTRANGE(""https://docs.google.com/spreadsheets/d/11923uPwbBZFjjGgGUA6NLw09EwE0CqkOc4q9oUmW1yo/edit?usp=sharing"",""เชียงใหม่!M432"")"),26444)</f>
        <v>26444</v>
      </c>
      <c r="O537" s="168">
        <f t="shared" ca="1" si="118"/>
        <v>70.068892421833596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IFERROR(__xludf.DUMMYFUNCTION("IMPORTRANGE(""https://docs.google.com/spreadsheets/d/11923uPwbBZFjjGgGUA6NLw09EwE0CqkOc4q9oUmW1yo/edit?usp=sharing"",""เชียงใหม่!M436"")"),5540)</f>
        <v>5540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IFERROR(__xludf.DUMMYFUNCTION("IMPORTRANGE(""https://docs.google.com/spreadsheets/d/11923uPwbBZFjjGgGUA6NLw09EwE0CqkOc4q9oUmW1yo/edit?usp=sharing"",""เชียงใหม่!J446"")"),1372)</f>
        <v>1372</v>
      </c>
      <c r="K551" s="410">
        <f ca="1">IF(I551&gt;0,J551*100/I551,0)</f>
        <v>45.733333333333334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IFERROR(__xludf.DUMMYFUNCTION("IMPORTRANGE(""https://docs.google.com/spreadsheets/d/11923uPwbBZFjjGgGUA6NLw09EwE0CqkOc4q9oUmW1yo/edit?usp=sharing"",""เชียงใหม่!M446"")"),57267.16)</f>
        <v>57267.16</v>
      </c>
      <c r="O551" s="411">
        <f t="shared" ref="O551:O555" ca="1" si="120">+IF(L551&gt;0,N551*100/L551,0)</f>
        <v>30.461255319148936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IFERROR(__xludf.DUMMYFUNCTION("IMPORTRANGE(""https://docs.google.com/spreadsheets/d/11923uPwbBZFjjGgGUA6NLw09EwE0CqkOc4q9oUmW1yo/edit?usp=sharing"",""เชียงใหม่!M448"")"),57267.16)</f>
        <v>57267.16</v>
      </c>
      <c r="O553" s="168">
        <f t="shared" ca="1" si="120"/>
        <v>30.461255319148936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IFERROR(__xludf.DUMMYFUNCTION("IMPORTRANGE(""https://docs.google.com/spreadsheets/d/11923uPwbBZFjjGgGUA6NLw09EwE0CqkOc4q9oUmW1yo/edit?usp=sharing"",""เชียงใหม่!M450"")"),57267.16)</f>
        <v>57267.16</v>
      </c>
      <c r="O555" s="168">
        <f t="shared" ca="1" si="120"/>
        <v>30.461255319148936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IFERROR(__xludf.DUMMYFUNCTION("IMPORTRANGE(""https://docs.google.com/spreadsheets/d/11923uPwbBZFjjGgGUA6NLw09EwE0CqkOc4q9oUmW1yo/edit?usp=sharing"",""เชียงใหม่!M453"")"),20000)</f>
        <v>20000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IFERROR(__xludf.DUMMYFUNCTION("IMPORTRANGE(""https://docs.google.com/spreadsheets/d/11923uPwbBZFjjGgGUA6NLw09EwE0CqkOc4q9oUmW1yo/edit?usp=sharing"",""เชียงใหม่!M454"")"),37267.16)</f>
        <v>37267.160000000003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IFERROR(__xludf.DUMMYFUNCTION("IMPORTRANGE(""https://docs.google.com/spreadsheets/d/11923uPwbBZFjjGgGUA6NLw09EwE0CqkOc4q9oUmW1yo/edit?usp=sharing"",""เชียงใหม่!J455"")"),1372)</f>
        <v>1372</v>
      </c>
      <c r="K560" s="223">
        <f t="shared" ref="K560:K561" ca="1" si="121">IF(I560&gt;0,J560*100/I560,0)</f>
        <v>45.733333333333334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IFERROR(__xludf.DUMMYFUNCTION("IMPORTRANGE(""https://docs.google.com/spreadsheets/d/11923uPwbBZFjjGgGUA6NLw09EwE0CqkOc4q9oUmW1yo/edit?usp=sharing"",""เชียงใหม่!J456"")"),258)</f>
        <v>258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IFERROR(__xludf.DUMMYFUNCTION("IMPORTRANGE(""https://docs.google.com/spreadsheets/d/11923uPwbBZFjjGgGUA6NLw09EwE0CqkOc4q9oUmW1yo/edit?usp=sharing"",""เชียงใหม่!J459"")"),907)</f>
        <v>907</v>
      </c>
      <c r="K564" s="371">
        <f ca="1">IF(I564&gt;0,J564*100/I564,0)</f>
        <v>90.7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IFERROR(__xludf.DUMMYFUNCTION("IMPORTRANGE(""https://docs.google.com/spreadsheets/d/11923uPwbBZFjjGgGUA6NLw09EwE0CqkOc4q9oUmW1yo/edit?usp=sharing"",""เชียงใหม่!M459"")"),38295.24)</f>
        <v>38295.24</v>
      </c>
      <c r="O564" s="372">
        <f t="shared" ref="O564:O568" ca="1" si="122">+IF(L564&gt;0,N564*100/L564,0)</f>
        <v>29.259810513447434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IFERROR(__xludf.DUMMYFUNCTION("IMPORTRANGE(""https://docs.google.com/spreadsheets/d/11923uPwbBZFjjGgGUA6NLw09EwE0CqkOc4q9oUmW1yo/edit?usp=sharing"",""เชียงใหม่!M461"")"),38295.24)</f>
        <v>38295.24</v>
      </c>
      <c r="O566" s="168">
        <f t="shared" ca="1" si="122"/>
        <v>29.259810513447434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IFERROR(__xludf.DUMMYFUNCTION("IMPORTRANGE(""https://docs.google.com/spreadsheets/d/11923uPwbBZFjjGgGUA6NLw09EwE0CqkOc4q9oUmW1yo/edit?usp=sharing"",""เชียงใหม่!M463"")"),38295.24)</f>
        <v>38295.24</v>
      </c>
      <c r="O568" s="168">
        <f t="shared" ca="1" si="122"/>
        <v>29.259810513447434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IFERROR(__xludf.DUMMYFUNCTION("IMPORTRANGE(""https://docs.google.com/spreadsheets/d/11923uPwbBZFjjGgGUA6NLw09EwE0CqkOc4q9oUmW1yo/edit?usp=sharing"",""เชียงใหม่!M466"")"),31935.24)</f>
        <v>31935.24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IFERROR(__xludf.DUMMYFUNCTION("IMPORTRANGE(""https://docs.google.com/spreadsheets/d/11923uPwbBZFjjGgGUA6NLw09EwE0CqkOc4q9oUmW1yo/edit?usp=sharing"",""เชียงใหม่!M467"")"),6360)</f>
        <v>6360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IFERROR(__xludf.DUMMYFUNCTION("IMPORTRANGE(""https://docs.google.com/spreadsheets/d/11923uPwbBZFjjGgGUA6NLw09EwE0CqkOc4q9oUmW1yo/edit?usp=sharing"",""เชียงใหม่!J468"")"),907)</f>
        <v>907</v>
      </c>
      <c r="K573" s="201">
        <f ca="1">IF(I573&gt;0,J573*100/I573,0)</f>
        <v>90.7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IFERROR(__xludf.DUMMYFUNCTION("IMPORTRANGE(""https://docs.google.com/spreadsheets/d/11923uPwbBZFjjGgGUA6NLw09EwE0CqkOc4q9oUmW1yo/edit?usp=sharing"",""เชียงใหม่!J471"")"),153)</f>
        <v>153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IFERROR(__xludf.DUMMYFUNCTION("IMPORTRANGE(""https://docs.google.com/spreadsheets/d/11923uPwbBZFjjGgGUA6NLw09EwE0CqkOc4q9oUmW1yo/edit?usp=sharing"",""เชียงใหม่!J472"")"),725)</f>
        <v>725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IFERROR(__xludf.DUMMYFUNCTION("IMPORTRANGE(""https://docs.google.com/spreadsheets/d/11923uPwbBZFjjGgGUA6NLw09EwE0CqkOc4q9oUmW1yo/edit?usp=sharing"",""เชียงใหม่!J474"")"),28)</f>
        <v>28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IFERROR(__xludf.DUMMYFUNCTION("IMPORTRANGE(""https://docs.google.com/spreadsheets/d/11923uPwbBZFjjGgGUA6NLw09EwE0CqkOc4q9oUmW1yo/edit?usp=sharing"",""เชียงใหม่!L475"")"),153230)</f>
        <v>153230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7.126541799908634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IFERROR(__xludf.DUMMYFUNCTION("IMPORTRANGE(""https://docs.google.com/spreadsheets/d/11923uPwbBZFjjGgGUA6NLw09EwE0CqkOc4q9oUmW1yo/edit?usp=sharing"",""เชียงใหม่!L477"")"),153230)</f>
        <v>153230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7.126541799908634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IFERROR(__xludf.DUMMYFUNCTION("IMPORTRANGE(""https://docs.google.com/spreadsheets/d/11923uPwbBZFjjGgGUA6NLw09EwE0CqkOc4q9oUmW1yo/edit?usp=sharing"",""เชียงใหม่!L479"")"),153230)</f>
        <v>153230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7.126541799908634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IFERROR(__xludf.DUMMYFUNCTION("IMPORTRANGE(""https://docs.google.com/spreadsheets/d/11923uPwbBZFjjGgGUA6NLw09EwE0CqkOc4q9oUmW1yo/edit?usp=sharing"",""เชียงใหม่!J484"")"),31)</f>
        <v>31</v>
      </c>
      <c r="K589" s="163">
        <f t="shared" ref="K589:K596" ca="1" si="125">IF(I589&gt;0,J589*100/I589,0)</f>
        <v>103.33333333333333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IFERROR(__xludf.DUMMYFUNCTION("IMPORTRANGE(""https://docs.google.com/spreadsheets/d/11923uPwbBZFjjGgGUA6NLw09EwE0CqkOc4q9oUmW1yo/edit?usp=sharing"",""เชียงใหม่!J485"")"),11.18)</f>
        <v>11.18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IFERROR(__xludf.DUMMYFUNCTION("IMPORTRANGE(""https://docs.google.com/spreadsheets/d/11923uPwbBZFjjGgGUA6NLw09EwE0CqkOc4q9oUmW1yo/edit?usp=sharing"",""เชียงใหม่!J486"")"),14)</f>
        <v>14</v>
      </c>
      <c r="K591" s="163">
        <f t="shared" ca="1" si="125"/>
        <v>46.666666666666664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IFERROR(__xludf.DUMMYFUNCTION("IMPORTRANGE(""https://docs.google.com/spreadsheets/d/11923uPwbBZFjjGgGUA6NLw09EwE0CqkOc4q9oUmW1yo/edit?usp=sharing"",""เชียงใหม่!J487"")"),4.83)</f>
        <v>4.83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IFERROR(__xludf.DUMMYFUNCTION("IMPORTRANGE(""https://docs.google.com/spreadsheets/d/11923uPwbBZFjjGgGUA6NLw09EwE0CqkOc4q9oUmW1yo/edit?usp=sharing"",""เชียงใหม่!I491"")"),0)</f>
        <v>0</v>
      </c>
      <c r="J596" s="240">
        <f ca="1">IFERROR(__xludf.DUMMYFUNCTION("IMPORTRANGE(""https://docs.google.com/spreadsheets/d/11923uPwbBZFjjGgGUA6NLw09EwE0CqkOc4q9oUmW1yo/edit?usp=sharing"",""เชียงใหม่!J491"")"),0)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7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IFERROR(__xludf.DUMMYFUNCTION("IMPORTRANGE(""https://docs.google.com/spreadsheets/d/11923uPwbBZFjjGgGUA6NLw09EwE0CqkOc4q9oUmW1yo/edit?usp=sharing"",""เชียงใหม่!M492"")"),4580)</f>
        <v>4580</v>
      </c>
      <c r="O597" s="411">
        <f t="shared" ref="O597:O601" ca="1" si="126">+IF(L597&gt;0,N597*100/L597,0)</f>
        <v>42.018348623853214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IFERROR(__xludf.DUMMYFUNCTION("IMPORTRANGE(""https://docs.google.com/spreadsheets/d/11923uPwbBZFjjGgGUA6NLw09EwE0CqkOc4q9oUmW1yo/edit?usp=sharing"",""เชียงใหม่!M494"")"),4580)</f>
        <v>4580</v>
      </c>
      <c r="O599" s="168">
        <f t="shared" ca="1" si="126"/>
        <v>42.018348623853214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IFERROR(__xludf.DUMMYFUNCTION("IMPORTRANGE(""https://docs.google.com/spreadsheets/d/11923uPwbBZFjjGgGUA6NLw09EwE0CqkOc4q9oUmW1yo/edit?usp=sharing"",""เชียงใหม่!M496"")"),4580)</f>
        <v>4580</v>
      </c>
      <c r="O601" s="168">
        <f t="shared" ca="1" si="126"/>
        <v>42.018348623853214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IFERROR(__xludf.DUMMYFUNCTION("IMPORTRANGE(""https://docs.google.com/spreadsheets/d/11923uPwbBZFjjGgGUA6NLw09EwE0CqkOc4q9oUmW1yo/edit?usp=sharing"",""เชียงใหม่!M500"")"),4580)</f>
        <v>4580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IFERROR(__xludf.DUMMYFUNCTION("IMPORTRANGE(""https://docs.google.com/spreadsheets/d/11923uPwbBZFjjGgGUA6NLw09EwE0CqkOc4q9oUmW1yo/edit?usp=sharing"",""เชียงใหม่!I523"")"),2948302.07)</f>
        <v>2948302.07</v>
      </c>
      <c r="J628" s="340">
        <f ca="1">IFERROR(__xludf.DUMMYFUNCTION("IMPORTRANGE(""https://docs.google.com/spreadsheets/d/11923uPwbBZFjjGgGUA6NLw09EwE0CqkOc4q9oUmW1yo/edit?usp=sharing"",""เชียงใหม่!J523"")"),990273.98)</f>
        <v>990273.98</v>
      </c>
      <c r="K628" s="341">
        <f t="shared" ref="K628:K635" ca="1" si="129">IF(I628&gt;0,J628*100/I628,0)</f>
        <v>33.587941686043045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IFERROR(__xludf.DUMMYFUNCTION("IMPORTRANGE(""https://docs.google.com/spreadsheets/d/11923uPwbBZFjjGgGUA6NLw09EwE0CqkOc4q9oUmW1yo/edit?usp=sharing"",""เชียงใหม่!I524"")"),159)</f>
        <v>159</v>
      </c>
      <c r="J629" s="340">
        <f ca="1">IFERROR(__xludf.DUMMYFUNCTION("IMPORTRANGE(""https://docs.google.com/spreadsheets/d/11923uPwbBZFjjGgGUA6NLw09EwE0CqkOc4q9oUmW1yo/edit?usp=sharing"",""เชียงใหม่!J524"")"),50)</f>
        <v>50</v>
      </c>
      <c r="K629" s="341">
        <f t="shared" ca="1" si="129"/>
        <v>31.446540880503143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0">
        <f ca="1">IFERROR(__xludf.DUMMYFUNCTION("IMPORTRANGE(""https://docs.google.com/spreadsheets/d/11923uPwbBZFjjGgGUA6NLw09EwE0CqkOc4q9oUmW1yo/edit?usp=sharing"",""เชียงใหม่!J525"")"),57830.43)</f>
        <v>57830.43</v>
      </c>
      <c r="K630" s="341">
        <f t="shared" ca="1" si="129"/>
        <v>9.0812381930452108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IFERROR(__xludf.DUMMYFUNCTION("IMPORTRANGE(""https://docs.google.com/spreadsheets/d/11923uPwbBZFjjGgGUA6NLw09EwE0CqkOc4q9oUmW1yo/edit?usp=sharing"",""เชียงใหม่!I526"")"),41)</f>
        <v>41</v>
      </c>
      <c r="J631" s="340">
        <f ca="1">IFERROR(__xludf.DUMMYFUNCTION("IMPORTRANGE(""https://docs.google.com/spreadsheets/d/11923uPwbBZFjjGgGUA6NLw09EwE0CqkOc4q9oUmW1yo/edit?usp=sharing"",""เชียงใหม่!J526"")"),25)</f>
        <v>25</v>
      </c>
      <c r="K631" s="341">
        <f t="shared" ca="1" si="129"/>
        <v>60.975609756097562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0">
        <f ca="1">IFERROR(__xludf.DUMMYFUNCTION("IMPORTRANGE(""https://docs.google.com/spreadsheets/d/11923uPwbBZFjjGgGUA6NLw09EwE0CqkOc4q9oUmW1yo/edit?usp=sharing"",""เชียงใหม่!J527"")"),4959.6)</f>
        <v>4959.6000000000004</v>
      </c>
      <c r="K632" s="341">
        <f t="shared" ca="1" si="129"/>
        <v>4.9173169747971146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IFERROR(__xludf.DUMMYFUNCTION("IMPORTRANGE(""https://docs.google.com/spreadsheets/d/11923uPwbBZFjjGgGUA6NLw09EwE0CqkOc4q9oUmW1yo/edit?usp=sharing"",""เชียงใหม่!I528"")"),23)</f>
        <v>23</v>
      </c>
      <c r="J633" s="340">
        <f ca="1">IFERROR(__xludf.DUMMYFUNCTION("IMPORTRANGE(""https://docs.google.com/spreadsheets/d/11923uPwbBZFjjGgGUA6NLw09EwE0CqkOc4q9oUmW1yo/edit?usp=sharing"",""เชียงใหม่!J528"")"),5)</f>
        <v>5</v>
      </c>
      <c r="K633" s="341">
        <f t="shared" ca="1" si="129"/>
        <v>21.739130434782609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IFERROR(__xludf.DUMMYFUNCTION("IMPORTRANGE(""https://docs.google.com/spreadsheets/d/11923uPwbBZFjjGgGUA6NLw09EwE0CqkOc4q9oUmW1yo/edit?usp=sharing"",""เชียงใหม่!I529"")"),1890000)</f>
        <v>1890000</v>
      </c>
      <c r="J634" s="340">
        <f ca="1">IFERROR(__xludf.DUMMYFUNCTION("IMPORTRANGE(""https://docs.google.com/spreadsheets/d/11923uPwbBZFjjGgGUA6NLw09EwE0CqkOc4q9oUmW1yo/edit?usp=sharing"",""เชียงใหม่!J529"")"),570000)</f>
        <v>570000</v>
      </c>
      <c r="K634" s="341">
        <f t="shared" ca="1" si="129"/>
        <v>30.158730158730158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IFERROR(__xludf.DUMMYFUNCTION("IMPORTRANGE(""https://docs.google.com/spreadsheets/d/11923uPwbBZFjjGgGUA6NLw09EwE0CqkOc4q9oUmW1yo/edit?usp=sharing"",""เชียงใหม่!I530"")"),63)</f>
        <v>63</v>
      </c>
      <c r="J635" s="504">
        <f ca="1">IFERROR(__xludf.DUMMYFUNCTION("IMPORTRANGE(""https://docs.google.com/spreadsheets/d/11923uPwbBZFjjGgGUA6NLw09EwE0CqkOc4q9oUmW1yo/edit?usp=sharing"",""เชียงใหม่!J530"")"),20)</f>
        <v>20</v>
      </c>
      <c r="K635" s="486">
        <f t="shared" ca="1" si="129"/>
        <v>31.746031746031747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G568" sqref="G56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244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4688047.68</v>
      </c>
      <c r="M8" s="23">
        <f t="shared" ca="1" si="0"/>
        <v>2279755</v>
      </c>
      <c r="N8" s="23">
        <f t="shared" ca="1" si="0"/>
        <v>2532651.77</v>
      </c>
      <c r="O8" s="22">
        <f t="shared" ref="O8:O16" ca="1" si="1">IF(L8&gt;0,N8*100/L8,0)</f>
        <v>54.023592396568802</v>
      </c>
      <c r="P8" s="22">
        <f t="shared" ref="P8:P16" ca="1" si="2">IF(M8&gt;0,N8*100/M8,0)</f>
        <v>111.09315562417892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4688047.68</v>
      </c>
      <c r="M10" s="30">
        <f t="shared" ca="1" si="4"/>
        <v>2279755</v>
      </c>
      <c r="N10" s="30">
        <f t="shared" ca="1" si="4"/>
        <v>2532651.77</v>
      </c>
      <c r="O10" s="29">
        <f t="shared" ca="1" si="1"/>
        <v>54.023592396568802</v>
      </c>
      <c r="P10" s="29">
        <f t="shared" ca="1" si="2"/>
        <v>111.09315562417892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4457427.68</v>
      </c>
      <c r="M12" s="39">
        <f t="shared" ca="1" si="6"/>
        <v>2049135</v>
      </c>
      <c r="N12" s="39">
        <f t="shared" ca="1" si="6"/>
        <v>2302031.77</v>
      </c>
      <c r="O12" s="39">
        <f t="shared" ca="1" si="1"/>
        <v>51.644848447658944</v>
      </c>
      <c r="P12" s="39">
        <f t="shared" ca="1" si="2"/>
        <v>112.34163537297445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1854900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2602527.6799999997</v>
      </c>
      <c r="M14" s="39">
        <f t="shared" si="8"/>
        <v>0</v>
      </c>
      <c r="N14" s="39">
        <f t="shared" ca="1" si="8"/>
        <v>922611.25</v>
      </c>
      <c r="O14" s="39">
        <f t="shared" ca="1" si="1"/>
        <v>35.450583564974806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2895720</v>
      </c>
      <c r="M18" s="23">
        <f t="shared" ca="1" si="11"/>
        <v>2279755</v>
      </c>
      <c r="N18" s="23">
        <f t="shared" ca="1" si="11"/>
        <v>1610040.52</v>
      </c>
      <c r="O18" s="22">
        <f t="shared" ref="O18:O20" ca="1" si="12">IF(L18&gt;0,N18*100/L18,0)</f>
        <v>55.600697581257855</v>
      </c>
      <c r="P18" s="22">
        <f t="shared" ref="P18:P26" ca="1" si="13">IF(M18&gt;0,N18*100/M18,0)</f>
        <v>70.623401198813028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2895720</v>
      </c>
      <c r="M20" s="30">
        <f t="shared" ca="1" si="15"/>
        <v>2279755</v>
      </c>
      <c r="N20" s="30">
        <f t="shared" ca="1" si="15"/>
        <v>1610040.52</v>
      </c>
      <c r="O20" s="29">
        <f t="shared" ca="1" si="12"/>
        <v>55.600697581257855</v>
      </c>
      <c r="P20" s="29">
        <f t="shared" ca="1" si="13"/>
        <v>70.623401198813028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2665100</v>
      </c>
      <c r="M22" s="42">
        <f t="shared" ca="1" si="18"/>
        <v>2049135</v>
      </c>
      <c r="N22" s="39">
        <f t="shared" ca="1" si="18"/>
        <v>1379420.52</v>
      </c>
      <c r="O22" s="39">
        <f t="shared" ca="1" si="17"/>
        <v>51.758677723162357</v>
      </c>
      <c r="P22" s="39">
        <f t="shared" ca="1" si="13"/>
        <v>67.317210432694765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1854900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810200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1792327.6799999999</v>
      </c>
      <c r="M28" s="23">
        <f t="shared" si="23"/>
        <v>0</v>
      </c>
      <c r="N28" s="23">
        <f t="shared" ca="1" si="23"/>
        <v>922611.25</v>
      </c>
      <c r="O28" s="22">
        <f t="shared" ref="O28:O30" ca="1" si="24">IF(L28&gt;0,N28*100/L28,0)</f>
        <v>51.475590110844017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1792327.6799999999</v>
      </c>
      <c r="M30" s="30">
        <f t="shared" si="27"/>
        <v>0</v>
      </c>
      <c r="N30" s="30">
        <f t="shared" ca="1" si="27"/>
        <v>922611.25</v>
      </c>
      <c r="O30" s="29">
        <f t="shared" ca="1" si="24"/>
        <v>51.475590110844017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1792327.6799999999</v>
      </c>
      <c r="M32" s="39">
        <f t="shared" si="30"/>
        <v>0</v>
      </c>
      <c r="N32" s="39">
        <f t="shared" ca="1" si="30"/>
        <v>922611.25</v>
      </c>
      <c r="O32" s="39">
        <f t="shared" ca="1" si="29"/>
        <v>51.475590110844017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1792327.6799999999</v>
      </c>
      <c r="M34" s="39">
        <f t="shared" si="32"/>
        <v>0</v>
      </c>
      <c r="N34" s="39">
        <f t="shared" ca="1" si="32"/>
        <v>922611.25</v>
      </c>
      <c r="O34" s="39">
        <f t="shared" ca="1" si="29"/>
        <v>51.475590110844017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2895720</v>
      </c>
      <c r="M37" s="55">
        <f t="shared" ca="1" si="33"/>
        <v>2279755</v>
      </c>
      <c r="N37" s="55">
        <f t="shared" ca="1" si="33"/>
        <v>1610040.52</v>
      </c>
      <c r="O37" s="56">
        <f t="shared" ca="1" si="29"/>
        <v>55.600697581257855</v>
      </c>
      <c r="P37" s="56">
        <f t="shared" ca="1" si="25"/>
        <v>70.623401198813028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520600</v>
      </c>
      <c r="N41" s="79">
        <f t="shared" ca="1" si="34"/>
        <v>291422.65999999997</v>
      </c>
      <c r="O41" s="78">
        <f t="shared" ref="O41:O43" ca="1" si="35">IF(L41&gt;0,N41*100/L41,0)</f>
        <v>41.985687941218842</v>
      </c>
      <c r="P41" s="78">
        <f t="shared" ref="P41:P43" ca="1" si="36">IF(M41&gt;0,N41*100/M41,0)</f>
        <v>55.978228966577021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520600</v>
      </c>
      <c r="N43" s="79">
        <f t="shared" ca="1" si="38"/>
        <v>291422.65999999997</v>
      </c>
      <c r="O43" s="78">
        <f t="shared" ca="1" si="35"/>
        <v>41.985687941218842</v>
      </c>
      <c r="P43" s="78">
        <f t="shared" ca="1" si="36"/>
        <v>55.978228966577021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694100</v>
      </c>
      <c r="M45" s="50">
        <f ca="1">IFERROR(__xludf.DUMMYFUNCTION("IMPORTRANGE(""https://docs.google.com/spreadsheets/d/1Yj_ptqi66GCucihVvJfMjLAmec39IyEx_6qawtMGysU/edit?usp=sharing"",""สบก!Q23"")"),520600)</f>
        <v>520600</v>
      </c>
      <c r="N45" s="50">
        <f ca="1">IFERROR(__xludf.DUMMYFUNCTION("IMPORTRANGE(""https://docs.google.com/spreadsheets/d/1Yj_ptqi66GCucihVvJfMjLAmec39IyEx_6qawtMGysU/edit?usp=sharing"",""สบก!R23"")"),291422.66)</f>
        <v>291422.65999999997</v>
      </c>
      <c r="O45" s="39">
        <f ca="1">IF(L45&gt;0,N45*100/L45,0)</f>
        <v>41.985687941218842</v>
      </c>
      <c r="P45" s="39">
        <f ca="1">IF(M45&gt;0,N45*100/M45,0)</f>
        <v>55.978228966577021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IFERROR(__xludf.DUMMYFUNCTION("IMPORTRANGE(""https://docs.google.com/spreadsheets/d/1Yj_ptqi66GCucihVvJfMjLAmec39IyEx_6qawtMGysU/edit?usp=sharing"",""สบก!M23"")"),694100)</f>
        <v>694100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328860</v>
      </c>
      <c r="N53" s="121">
        <f t="shared" ca="1" si="39"/>
        <v>216913</v>
      </c>
      <c r="O53" s="120">
        <f t="shared" ref="O53:O55" ca="1" si="40">IF(L53&gt;0,N53*100/L53,0)</f>
        <v>54.228250000000003</v>
      </c>
      <c r="P53" s="120">
        <f t="shared" ref="P53:P55" ca="1" si="41">IF(M53&gt;0,N53*100/M53,0)</f>
        <v>65.959070729185669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328860</v>
      </c>
      <c r="N55" s="121">
        <f t="shared" ca="1" si="43"/>
        <v>216913</v>
      </c>
      <c r="O55" s="120">
        <f t="shared" ca="1" si="40"/>
        <v>54.228250000000003</v>
      </c>
      <c r="P55" s="120">
        <f t="shared" ca="1" si="41"/>
        <v>65.959070729185669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IFERROR(__xludf.DUMMYFUNCTION("IMPORTRANGE(""https://docs.google.com/spreadsheets/d/1Yj_ptqi66GCucihVvJfMjLAmec39IyEx_6qawtMGysU/edit?usp=sharing"",""สบก!Z23"")"),328860)</f>
        <v>328860</v>
      </c>
      <c r="N57" s="50">
        <f ca="1">IFERROR(__xludf.DUMMYFUNCTION("IMPORTRANGE(""https://docs.google.com/spreadsheets/d/1Yj_ptqi66GCucihVvJfMjLAmec39IyEx_6qawtMGysU/edit?usp=sharing"",""สบก!AA23"")"),216913)</f>
        <v>216913</v>
      </c>
      <c r="O57" s="39">
        <f ca="1">IF(L57&gt;0,N57*100/L57,0)</f>
        <v>54.228250000000003</v>
      </c>
      <c r="P57" s="39">
        <f ca="1">IF(M57&gt;0,N57*100/M57,0)</f>
        <v>65.959070729185669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137930</v>
      </c>
      <c r="O94" s="151">
        <f t="shared" ref="O94:O96" ca="1" si="53">IF(L94&gt;0,N94*100/L94,0)</f>
        <v>64.303030303030297</v>
      </c>
      <c r="P94" s="151">
        <f t="shared" ref="P94:P96" ca="1" si="54">IF(M94&gt;0,N94*100/M94,0)</f>
        <v>64.303030303030297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137930</v>
      </c>
      <c r="O96" s="156">
        <f t="shared" ca="1" si="53"/>
        <v>64.303030303030297</v>
      </c>
      <c r="P96" s="156">
        <f t="shared" ca="1" si="54"/>
        <v>64.303030303030297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IFERROR(__xludf.DUMMYFUNCTION("IMPORTRANGE(""https://docs.google.com/spreadsheets/d/1Yj_ptqi66GCucihVvJfMjLAmec39IyEx_6qawtMGysU/edit?usp=sharing"",""สบก!AR23"")"),122100)</f>
        <v>122100</v>
      </c>
      <c r="N98" s="168">
        <f ca="1">IFERROR(__xludf.DUMMYFUNCTION("IMPORTRANGE(""https://docs.google.com/spreadsheets/d/1Yj_ptqi66GCucihVvJfMjLAmec39IyEx_6qawtMGysU/edit?usp=sharing"",""สบก!AS23"")"),45530)</f>
        <v>45530</v>
      </c>
      <c r="O98" s="168">
        <f ca="1">IF(L98&gt;0,N98*100/L98,0)</f>
        <v>37.289107289107292</v>
      </c>
      <c r="P98" s="168">
        <f ca="1">IF(M98&gt;0,N98*100/M98,0)</f>
        <v>37.289107289107292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IFERROR(__xludf.DUMMYFUNCTION("IMPORTRANGE(""https://docs.google.com/spreadsheets/d/11923uPwbBZFjjGgGUA6NLw09EwE0CqkOc4q9oUmW1yo/edit?usp=sharing"",""ตาก!J50"")"),0)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42730</v>
      </c>
      <c r="O118" s="151">
        <f t="shared" ref="O118:O120" ca="1" si="59">IF(L118&gt;0,N118*100/L118,0)</f>
        <v>51.831635128578363</v>
      </c>
      <c r="P118" s="151">
        <f t="shared" ref="P118:P120" ca="1" si="60">IF(M118&gt;0,N118*100/M118,0)</f>
        <v>51.831635128578363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42730</v>
      </c>
      <c r="O120" s="156">
        <f t="shared" ca="1" si="59"/>
        <v>51.831635128578363</v>
      </c>
      <c r="P120" s="156">
        <f t="shared" ca="1" si="60"/>
        <v>51.831635128578363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IFERROR(__xludf.DUMMYFUNCTION("IMPORTRANGE(""https://docs.google.com/spreadsheets/d/1Yj_ptqi66GCucihVvJfMjLAmec39IyEx_6qawtMGysU/edit?usp=sharing"",""สบก!BA23"")"),82440)</f>
        <v>82440</v>
      </c>
      <c r="N122" s="168">
        <f ca="1">IFERROR(__xludf.DUMMYFUNCTION("IMPORTRANGE(""https://docs.google.com/spreadsheets/d/1Yj_ptqi66GCucihVvJfMjLAmec39IyEx_6qawtMGysU/edit?usp=sharing"",""สบก!BB23"")"),42730)</f>
        <v>42730</v>
      </c>
      <c r="O122" s="168">
        <f ca="1">IF(L122&gt;0,N122*100/L122,0)</f>
        <v>51.831635128578363</v>
      </c>
      <c r="P122" s="168">
        <f ca="1">IF(M122&gt;0,N122*100/M122,0)</f>
        <v>51.831635128578363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245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IFERROR(__xludf.DUMMYFUNCTION("IMPORTRANGE(""https://docs.google.com/spreadsheets/d/11923uPwbBZFjjGgGUA6NLw09EwE0CqkOc4q9oUmW1yo/edit?usp=sharing"",""ตาก!J65"")"),0)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IFERROR(__xludf.DUMMYFUNCTION("IMPORTRANGE(""https://docs.google.com/spreadsheets/d/11923uPwbBZFjjGgGUA6NLw09EwE0CqkOc4q9oUmW1yo/edit?usp=sharing"",""ตาก!I68"")"),0)</f>
        <v>0</v>
      </c>
      <c r="J138" s="266">
        <f ca="1">IFERROR(__xludf.DUMMYFUNCTION("IMPORTRANGE(""https://docs.google.com/spreadsheets/d/11923uPwbBZFjjGgGUA6NLw09EwE0CqkOc4q9oUmW1yo/edit?usp=sharing"",""ตาก!J68"")"),0)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51125</v>
      </c>
      <c r="N140" s="152">
        <f t="shared" ca="1" si="64"/>
        <v>44000</v>
      </c>
      <c r="O140" s="151">
        <f t="shared" ref="O140:O142" ca="1" si="65">IF(L140&gt;0,N140*100/L140,0)</f>
        <v>63.768115942028984</v>
      </c>
      <c r="P140" s="151">
        <f t="shared" ref="P140:P142" ca="1" si="66">IF(M140&gt;0,N140*100/M140,0)</f>
        <v>86.063569682151595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69000</v>
      </c>
      <c r="M142" s="88">
        <f t="shared" ca="1" si="68"/>
        <v>51125</v>
      </c>
      <c r="N142" s="88">
        <f t="shared" ca="1" si="68"/>
        <v>44000</v>
      </c>
      <c r="O142" s="156">
        <f t="shared" ca="1" si="65"/>
        <v>63.768115942028984</v>
      </c>
      <c r="P142" s="156">
        <f t="shared" ca="1" si="66"/>
        <v>86.063569682151595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IFERROR(__xludf.DUMMYFUNCTION("IMPORTRANGE(""https://docs.google.com/spreadsheets/d/1Yj_ptqi66GCucihVvJfMjLAmec39IyEx_6qawtMGysU/edit?usp=sharing"",""สบก!BJ23"")"),51125)</f>
        <v>51125</v>
      </c>
      <c r="N144" s="168">
        <f ca="1">IFERROR(__xludf.DUMMYFUNCTION("IMPORTRANGE(""https://docs.google.com/spreadsheets/d/1Yj_ptqi66GCucihVvJfMjLAmec39IyEx_6qawtMGysU/edit?usp=sharing"",""สบก!BK23"")"),44000)</f>
        <v>44000</v>
      </c>
      <c r="O144" s="168">
        <f ca="1">IF(L144&gt;0,N144*100/L144,0)</f>
        <v>63.768115942028984</v>
      </c>
      <c r="P144" s="168">
        <f ca="1">IF(M144&gt;0,N144*100/M144,0)</f>
        <v>86.063569682151595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IFERROR(__xludf.DUMMYFUNCTION("IMPORTRANGE(""https://docs.google.com/spreadsheets/d/11923uPwbBZFjjGgGUA6NLw09EwE0CqkOc4q9oUmW1yo/edit?usp=sharing"",""ตาก!I74"")"),4)</f>
        <v>4</v>
      </c>
      <c r="J149" s="274">
        <f ca="1">IFERROR(__xludf.DUMMYFUNCTION("IMPORTRANGE(""https://docs.google.com/spreadsheets/d/11923uPwbBZFjjGgGUA6NLw09EwE0CqkOc4q9oUmW1yo/edit?usp=sharing"",""ตาก!J74"")"),1)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IFERROR(__xludf.DUMMYFUNCTION("IMPORTRANGE(""https://docs.google.com/spreadsheets/d/11923uPwbBZFjjGgGUA6NLw09EwE0CqkOc4q9oUmW1yo/edit?usp=sharing"",""ตาก!J84"")"),24)</f>
        <v>24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IFERROR(__xludf.DUMMYFUNCTION("IMPORTRANGE(""https://docs.google.com/spreadsheets/d/11923uPwbBZFjjGgGUA6NLw09EwE0CqkOc4q9oUmW1yo/edit?usp=sharing"",""ตาก!J85"")"),24)</f>
        <v>24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IFERROR(__xludf.DUMMYFUNCTION("IMPORTRANGE(""https://docs.google.com/spreadsheets/d/11923uPwbBZFjjGgGUA6NLw09EwE0CqkOc4q9oUmW1yo/edit?usp=sharing"",""ตาก!I89"")"),3)</f>
        <v>3</v>
      </c>
      <c r="J164" s="283">
        <f ca="1">IFERROR(__xludf.DUMMYFUNCTION("IMPORTRANGE(""https://docs.google.com/spreadsheets/d/11923uPwbBZFjjGgGUA6NLw09EwE0CqkOc4q9oUmW1yo/edit?usp=sharing"",""ตาก!J89"")"),3)</f>
        <v>3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IFERROR(__xludf.DUMMYFUNCTION("IMPORTRANGE(""https://docs.google.com/spreadsheets/d/11923uPwbBZFjjGgGUA6NLw09EwE0CqkOc4q9oUmW1yo/edit?usp=sharing"",""ตาก!I101"")"),0)</f>
        <v>0</v>
      </c>
      <c r="J176" s="283">
        <f ca="1">IFERROR(__xludf.DUMMYFUNCTION("IMPORTRANGE(""https://docs.google.com/spreadsheets/d/11923uPwbBZFjjGgGUA6NLw09EwE0CqkOc4q9oUmW1yo/edit?usp=sharing"",""ตาก!J101"")"),0)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IFERROR(__xludf.DUMMYFUNCTION("IMPORTRANGE(""https://docs.google.com/spreadsheets/d/11923uPwbBZFjjGgGUA6NLw09EwE0CqkOc4q9oUmW1yo/edit?usp=sharing"",""ตาก!J113"")"),0)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IFERROR(__xludf.DUMMYFUNCTION("IMPORTRANGE(""https://docs.google.com/spreadsheets/d/11923uPwbBZFjjGgGUA6NLw09EwE0CqkOc4q9oUmW1yo/edit?usp=sharing"",""ตาก!I114"")"),50000)</f>
        <v>50000</v>
      </c>
      <c r="J189" s="283">
        <f ca="1">IFERROR(__xludf.DUMMYFUNCTION("IMPORTRANGE(""https://docs.google.com/spreadsheets/d/11923uPwbBZFjjGgGUA6NLw09EwE0CqkOc4q9oUmW1yo/edit?usp=sharing"",""ตาก!J114"")"),0)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IFERROR(__xludf.DUMMYFUNCTION("IMPORTRANGE(""https://docs.google.com/spreadsheets/d/11923uPwbBZFjjGgGUA6NLw09EwE0CqkOc4q9oUmW1yo/edit?usp=sharing"",""ตาก!J128"")"),0)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IFERROR(__xludf.DUMMYFUNCTION("IMPORTRANGE(""https://docs.google.com/spreadsheets/d/11923uPwbBZFjjGgGUA6NLw09EwE0CqkOc4q9oUmW1yo/edit?usp=sharing"",""ตาก!I129"")"),0)</f>
        <v>0</v>
      </c>
      <c r="J204" s="283">
        <f ca="1">IFERROR(__xludf.DUMMYFUNCTION("IMPORTRANGE(""https://docs.google.com/spreadsheets/d/11923uPwbBZFjjGgGUA6NLw09EwE0CqkOc4q9oUmW1yo/edit?usp=sharing"",""ตาก!J129"")"),0)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IFERROR(__xludf.DUMMYFUNCTION("IMPORTRANGE(""https://docs.google.com/spreadsheets/d/11923uPwbBZFjjGgGUA6NLw09EwE0CqkOc4q9oUmW1yo/edit?usp=sharing"",""ตาก!J143"")"),0)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IFERROR(__xludf.DUMMYFUNCTION("IMPORTRANGE(""https://docs.google.com/spreadsheets/d/11923uPwbBZFjjGgGUA6NLw09EwE0CqkOc4q9oUmW1yo/edit?usp=sharing"",""ตาก!I144"")"),14)</f>
        <v>14</v>
      </c>
      <c r="J219" s="266">
        <f ca="1">IFERROR(__xludf.DUMMYFUNCTION("IMPORTRANGE(""https://docs.google.com/spreadsheets/d/11923uPwbBZFjjGgGUA6NLw09EwE0CqkOc4q9oUmW1yo/edit?usp=sharing"",""ตาก!J144"")"),14)</f>
        <v>14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IFERROR(__xludf.DUMMYFUNCTION("IMPORTRANGE(""https://docs.google.com/spreadsheets/d/11923uPwbBZFjjGgGUA6NLw09EwE0CqkOc4q9oUmW1yo/edit?usp=sharing"",""ตาก!I149"")"),14)</f>
        <v>14</v>
      </c>
      <c r="J229" s="266">
        <f ca="1">IFERROR(__xludf.DUMMYFUNCTION("IMPORTRANGE(""https://docs.google.com/spreadsheets/d/11923uPwbBZFjjGgGUA6NLw09EwE0CqkOc4q9oUmW1yo/edit?usp=sharing"",""ตาก!J149"")"),14)</f>
        <v>14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IFERROR(__xludf.DUMMYFUNCTION("IMPORTRANGE(""https://docs.google.com/spreadsheets/d/11923uPwbBZFjjGgGUA6NLw09EwE0CqkOc4q9oUmW1yo/edit?usp=sharing"",""ตาก!J157"")"),0)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IFERROR(__xludf.DUMMYFUNCTION("IMPORTRANGE(""https://docs.google.com/spreadsheets/d/11923uPwbBZFjjGgGUA6NLw09EwE0CqkOc4q9oUmW1yo/edit?usp=sharing"",""ตาก!I158"")"),0)</f>
        <v>0</v>
      </c>
      <c r="J238" s="266">
        <f ca="1">IFERROR(__xludf.DUMMYFUNCTION("IMPORTRANGE(""https://docs.google.com/spreadsheets/d/11923uPwbBZFjjGgGUA6NLw09EwE0CqkOc4q9oUmW1yo/edit?usp=sharing"",""ตาก!J158"")"),0)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IFERROR(__xludf.DUMMYFUNCTION("IMPORTRANGE(""https://docs.google.com/spreadsheets/d/11923uPwbBZFjjGgGUA6NLw09EwE0CqkOc4q9oUmW1yo/edit?usp=sharing"",""ตาก!J166"")"),0)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IFERROR(__xludf.DUMMYFUNCTION("IMPORTRANGE(""https://docs.google.com/spreadsheets/d/11923uPwbBZFjjGgGUA6NLw09EwE0CqkOc4q9oUmW1yo/edit?usp=sharing"",""ตาก!I169"")"),0)</f>
        <v>0</v>
      </c>
      <c r="J249" s="315">
        <f ca="1">IFERROR(__xludf.DUMMYFUNCTION("IMPORTRANGE(""https://docs.google.com/spreadsheets/d/11923uPwbBZFjjGgGUA6NLw09EwE0CqkOc4q9oUmW1yo/edit?usp=sharing"",""ตาก!J169"")"),0)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IFERROR(__xludf.DUMMYFUNCTION("IMPORTRANGE(""https://docs.google.com/spreadsheets/d/11923uPwbBZFjjGgGUA6NLw09EwE0CqkOc4q9oUmW1yo/edit?usp=sharing"",""ตาก!J184"")"),0)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IFERROR(__xludf.DUMMYFUNCTION("IMPORTRANGE(""https://docs.google.com/spreadsheets/d/11923uPwbBZFjjGgGUA6NLw09EwE0CqkOc4q9oUmW1yo/edit?usp=sharing"",""ตาก!I185"")"),20)</f>
        <v>20</v>
      </c>
      <c r="J270" s="315">
        <f ca="1">IFERROR(__xludf.DUMMYFUNCTION("IMPORTRANGE(""https://docs.google.com/spreadsheets/d/11923uPwbBZFjjGgGUA6NLw09EwE0CqkOc4q9oUmW1yo/edit?usp=sharing"",""ตาก!J185"")"),20)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236000</v>
      </c>
      <c r="N271" s="152">
        <f t="shared" ca="1" si="83"/>
        <v>167006</v>
      </c>
      <c r="O271" s="151">
        <f t="shared" ref="O271:O273" ca="1" si="84">IF(L271&gt;0,N271*100/L271,0)</f>
        <v>49.468601895734594</v>
      </c>
      <c r="P271" s="151">
        <f t="shared" ref="P271:P273" ca="1" si="85">IF(M271&gt;0,N271*100/M271,0)</f>
        <v>70.765254237288133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236000</v>
      </c>
      <c r="N273" s="88">
        <f t="shared" ca="1" si="87"/>
        <v>167006</v>
      </c>
      <c r="O273" s="156">
        <f t="shared" ca="1" si="84"/>
        <v>49.468601895734594</v>
      </c>
      <c r="P273" s="156">
        <f t="shared" ca="1" si="85"/>
        <v>70.765254237288133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IFERROR(__xludf.DUMMYFUNCTION("IMPORTRANGE(""https://docs.google.com/spreadsheets/d/1Yj_ptqi66GCucihVvJfMjLAmec39IyEx_6qawtMGysU/edit?usp=sharing"",""สบก!CK23"")"),236000)</f>
        <v>236000</v>
      </c>
      <c r="N275" s="168">
        <f ca="1">IFERROR(__xludf.DUMMYFUNCTION("IMPORTRANGE(""https://docs.google.com/spreadsheets/d/1Yj_ptqi66GCucihVvJfMjLAmec39IyEx_6qawtMGysU/edit?usp=sharing"",""สบก!CL23"")"),167006)</f>
        <v>167006</v>
      </c>
      <c r="O275" s="168">
        <f ca="1">IF(L275&gt;0,N275*100/L275,0)</f>
        <v>49.468601895734594</v>
      </c>
      <c r="P275" s="168">
        <f ca="1">IF(M275&gt;0,N275*100/M275,0)</f>
        <v>70.765254237288133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IFERROR(__xludf.DUMMYFUNCTION("IMPORTRANGE(""https://docs.google.com/spreadsheets/d/11923uPwbBZFjjGgGUA6NLw09EwE0CqkOc4q9oUmW1yo/edit?usp=sharing"",""ตาก!I199"")"),0)</f>
        <v>0</v>
      </c>
      <c r="J289" s="315">
        <f ca="1">IFERROR(__xludf.DUMMYFUNCTION("IMPORTRANGE(""https://docs.google.com/spreadsheets/d/11923uPwbBZFjjGgGUA6NLw09EwE0CqkOc4q9oUmW1yo/edit?usp=sharing"",""ตาก!J199"")"),0)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IFERROR(__xludf.DUMMYFUNCTION("IMPORTRANGE(""https://docs.google.com/spreadsheets/d/11923uPwbBZFjjGgGUA6NLw09EwE0CqkOc4q9oUmW1yo/edit?usp=sharing"",""ตาก!J213"")"),0)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IFERROR(__xludf.DUMMYFUNCTION("IMPORTRANGE(""https://docs.google.com/spreadsheets/d/11923uPwbBZFjjGgGUA6NLw09EwE0CqkOc4q9oUmW1yo/edit?usp=sharing"",""ตาก!I214"")"),0)</f>
        <v>0</v>
      </c>
      <c r="J309" s="332">
        <f ca="1">IFERROR(__xludf.DUMMYFUNCTION("IMPORTRANGE(""https://docs.google.com/spreadsheets/d/11923uPwbBZFjjGgGUA6NLw09EwE0CqkOc4q9oUmW1yo/edit?usp=sharing"",""ตาก!J214"")"),0)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IFERROR(__xludf.DUMMYFUNCTION("IMPORTRANGE(""https://docs.google.com/spreadsheets/d/11923uPwbBZFjjGgGUA6NLw09EwE0CqkOc4q9oUmW1yo/edit?usp=sharing"",""ตาก!J226"")"),0)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IFERROR(__xludf.DUMMYFUNCTION("IMPORTRANGE(""https://docs.google.com/spreadsheets/d/11923uPwbBZFjjGgGUA6NLw09EwE0CqkOc4q9oUmW1yo/edit?usp=sharing"",""ตาก!I228"")"),215)</f>
        <v>215</v>
      </c>
      <c r="J328" s="338">
        <f ca="1">IFERROR(__xludf.DUMMYFUNCTION("IMPORTRANGE(""https://docs.google.com/spreadsheets/d/11923uPwbBZFjjGgGUA6NLw09EwE0CqkOc4q9oUmW1yo/edit?usp=sharing"",""ตาก!J228"")"),169)</f>
        <v>169</v>
      </c>
      <c r="K328" s="316">
        <f ca="1">IF(I328&gt;0,J328*100/I328,0)</f>
        <v>78.604651162790702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1077870</v>
      </c>
      <c r="M329" s="152">
        <f t="shared" ca="1" si="98"/>
        <v>826020</v>
      </c>
      <c r="N329" s="152">
        <f t="shared" ca="1" si="98"/>
        <v>689828.86</v>
      </c>
      <c r="O329" s="151">
        <f t="shared" ref="O329:O331" ca="1" si="99">IF(L329&gt;0,N329*100/L329,0)</f>
        <v>63.999263362000981</v>
      </c>
      <c r="P329" s="151">
        <f t="shared" ref="P329:P331" ca="1" si="100">IF(M329&gt;0,N329*100/M329,0)</f>
        <v>83.512367739279924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1077870</v>
      </c>
      <c r="M331" s="88">
        <f t="shared" ca="1" si="102"/>
        <v>826020</v>
      </c>
      <c r="N331" s="88">
        <f t="shared" ca="1" si="102"/>
        <v>689828.86</v>
      </c>
      <c r="O331" s="156">
        <f t="shared" ca="1" si="99"/>
        <v>63.999263362000981</v>
      </c>
      <c r="P331" s="156">
        <f t="shared" ca="1" si="100"/>
        <v>83.512367739279924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939650</v>
      </c>
      <c r="M333" s="167">
        <f ca="1">IFERROR(__xludf.DUMMYFUNCTION("IMPORTRANGE(""https://docs.google.com/spreadsheets/d/1Yj_ptqi66GCucihVvJfMjLAmec39IyEx_6qawtMGysU/edit?usp=sharing"",""สบก!DL23"")"),687800)</f>
        <v>687800</v>
      </c>
      <c r="N333" s="168">
        <f ca="1">IFERROR(__xludf.DUMMYFUNCTION("IMPORTRANGE(""https://docs.google.com/spreadsheets/d/1Yj_ptqi66GCucihVvJfMjLAmec39IyEx_6qawtMGysU/edit?usp=sharing"",""สบก!DM23"")"),551608.86)</f>
        <v>551608.86</v>
      </c>
      <c r="O333" s="168">
        <f ca="1">IF(L333&gt;0,N333*100/L333,0)</f>
        <v>58.703651359548765</v>
      </c>
      <c r="P333" s="168">
        <f ca="1">IF(M333&gt;0,N333*100/M333,0)</f>
        <v>80.199020063972085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IFERROR(__xludf.DUMMYFUNCTION("IMPORTRANGE(""https://docs.google.com/spreadsheets/d/1Yj_ptqi66GCucihVvJfMjLAmec39IyEx_6qawtMGysU/edit?usp=sharing"",""สบก!DI23"")"),442850)</f>
        <v>442850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IFERROR(__xludf.DUMMYFUNCTION("IMPORTRANGE(""https://docs.google.com/spreadsheets/d/11923uPwbBZFjjGgGUA6NLw09EwE0CqkOc4q9oUmW1yo/edit?usp=sharing"",""ตาก!J234"")"),130)</f>
        <v>130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IFERROR(__xludf.DUMMYFUNCTION("IMPORTRANGE(""https://docs.google.com/spreadsheets/d/11923uPwbBZFjjGgGUA6NLw09EwE0CqkOc4q9oUmW1yo/edit?usp=sharing"",""ตาก!J235"")"),932.48)</f>
        <v>932.48</v>
      </c>
      <c r="K340" s="341">
        <f t="shared" ca="1" si="103"/>
        <v>31.082666666666668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IFERROR(__xludf.DUMMYFUNCTION("IMPORTRANGE(""https://docs.google.com/spreadsheets/d/11923uPwbBZFjjGgGUA6NLw09EwE0CqkOc4q9oUmW1yo/edit?usp=sharing"",""ตาก!I236"")"),215)</f>
        <v>215</v>
      </c>
      <c r="J341" s="187">
        <f ca="1">IFERROR(__xludf.DUMMYFUNCTION("IMPORTRANGE(""https://docs.google.com/spreadsheets/d/11923uPwbBZFjjGgGUA6NLw09EwE0CqkOc4q9oUmW1yo/edit?usp=sharing"",""ตาก!J236"")"),172)</f>
        <v>172</v>
      </c>
      <c r="K341" s="341">
        <f t="shared" ca="1" si="103"/>
        <v>80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IFERROR(__xludf.DUMMYFUNCTION("IMPORTRANGE(""https://docs.google.com/spreadsheets/d/11923uPwbBZFjjGgGUA6NLw09EwE0CqkOc4q9oUmW1yo/edit?usp=sharing"",""ตาก!J237"")"),1848.28)</f>
        <v>1848.28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IFERROR(__xludf.DUMMYFUNCTION("IMPORTRANGE(""https://docs.google.com/spreadsheets/d/11923uPwbBZFjjGgGUA6NLw09EwE0CqkOc4q9oUmW1yo/edit?usp=sharing"",""ตาก!I238"")"),215)</f>
        <v>215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IFERROR(__xludf.DUMMYFUNCTION("IMPORTRANGE(""https://docs.google.com/spreadsheets/d/11923uPwbBZFjjGgGUA6NLw09EwE0CqkOc4q9oUmW1yo/edit?usp=sharing"",""ตาก!I240"")"),215)</f>
        <v>215</v>
      </c>
      <c r="J345" s="187">
        <f ca="1">IFERROR(__xludf.DUMMYFUNCTION("IMPORTRANGE(""https://docs.google.com/spreadsheets/d/11923uPwbBZFjjGgGUA6NLw09EwE0CqkOc4q9oUmW1yo/edit?usp=sharing"",""ตาก!J240"")"),169)</f>
        <v>169</v>
      </c>
      <c r="K345" s="341">
        <f t="shared" ca="1" si="103"/>
        <v>78.604651162790702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IFERROR(__xludf.DUMMYFUNCTION("IMPORTRANGE(""https://docs.google.com/spreadsheets/d/11923uPwbBZFjjGgGUA6NLw09EwE0CqkOc4q9oUmW1yo/edit?usp=sharing"",""ตาก!J241"")"),1852.47)</f>
        <v>1852.47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IFERROR(__xludf.DUMMYFUNCTION("IMPORTRANGE(""https://docs.google.com/spreadsheets/d/11923uPwbBZFjjGgGUA6NLw09EwE0CqkOc4q9oUmW1yo/edit?usp=sharing"",""ตาก!L242"")"),1792327.68)</f>
        <v>1792327.6799999999</v>
      </c>
      <c r="M347" s="357"/>
      <c r="N347" s="357">
        <f ca="1">IFERROR(__xludf.DUMMYFUNCTION("IMPORTRANGE(""https://docs.google.com/spreadsheets/d/11923uPwbBZFjjGgGUA6NLw09EwE0CqkOc4q9oUmW1yo/edit?usp=sharing"",""ตาก!M242"")"),922611.25)</f>
        <v>922611.25</v>
      </c>
      <c r="O347" s="357">
        <f ca="1">+IF(L347&gt;0,N347*100/L347,0)</f>
        <v>51.475590110844017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IFERROR(__xludf.DUMMYFUNCTION("IMPORTRANGE(""https://docs.google.com/spreadsheets/d/11923uPwbBZFjjGgGUA6NLw09EwE0CqkOc4q9oUmW1yo/edit?usp=sharing"",""ตาก!M275"")"),409065)</f>
        <v>409065</v>
      </c>
      <c r="O380" s="372">
        <f ca="1">+IF(L380&gt;0,N380*100/L380,0)</f>
        <v>88.900117355587426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IFERROR(__xludf.DUMMYFUNCTION("IMPORTRANGE(""https://docs.google.com/spreadsheets/d/11923uPwbBZFjjGgGUA6NLw09EwE0CqkOc4q9oUmW1yo/edit?usp=sharing"",""ตาก!M278"")"),409065)</f>
        <v>409065</v>
      </c>
      <c r="O383" s="165">
        <f t="shared" ca="1" si="109"/>
        <v>88.900117355587426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IFERROR(__xludf.DUMMYFUNCTION("IMPORTRANGE(""https://docs.google.com/spreadsheets/d/11923uPwbBZFjjGgGUA6NLw09EwE0CqkOc4q9oUmW1yo/edit?usp=sharing"",""ตาก!M280"")"),409065)</f>
        <v>409065</v>
      </c>
      <c r="O385" s="168">
        <f t="shared" ca="1" si="109"/>
        <v>88.900117355587426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IFERROR(__xludf.DUMMYFUNCTION("IMPORTRANGE(""https://docs.google.com/spreadsheets/d/11923uPwbBZFjjGgGUA6NLw09EwE0CqkOc4q9oUmW1yo/edit?usp=sharing"",""ตาก!M281"")"),78220)</f>
        <v>78220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IFERROR(__xludf.DUMMYFUNCTION("IMPORTRANGE(""https://docs.google.com/spreadsheets/d/11923uPwbBZFjjGgGUA6NLw09EwE0CqkOc4q9oUmW1yo/edit?usp=sharing"",""ตาก!M284"")"),18345)</f>
        <v>18345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IFERROR(__xludf.DUMMYFUNCTION("IMPORTRANGE(""https://docs.google.com/spreadsheets/d/11923uPwbBZFjjGgGUA6NLw09EwE0CqkOc4q9oUmW1yo/edit?usp=sharing"",""ตาก!M296"")"),142349)</f>
        <v>142349</v>
      </c>
      <c r="O401" s="372">
        <f ca="1">+IF(L401&gt;0,N401*100/L401,0)</f>
        <v>61.791465902678297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IFERROR(__xludf.DUMMYFUNCTION("IMPORTRANGE(""https://docs.google.com/spreadsheets/d/11923uPwbBZFjjGgGUA6NLw09EwE0CqkOc4q9oUmW1yo/edit?usp=sharing"",""ตาก!M299"")"),142349)</f>
        <v>142349</v>
      </c>
      <c r="O404" s="168">
        <f t="shared" ca="1" si="112"/>
        <v>61.791465902678297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IFERROR(__xludf.DUMMYFUNCTION("IMPORTRANGE(""https://docs.google.com/spreadsheets/d/11923uPwbBZFjjGgGUA6NLw09EwE0CqkOc4q9oUmW1yo/edit?usp=sharing"",""ตาก!M301"")"),142349)</f>
        <v>142349</v>
      </c>
      <c r="O406" s="168">
        <f t="shared" ca="1" si="112"/>
        <v>61.791465902678297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IFERROR(__xludf.DUMMYFUNCTION("IMPORTRANGE(""https://docs.google.com/spreadsheets/d/11923uPwbBZFjjGgGUA6NLw09EwE0CqkOc4q9oUmW1yo/edit?usp=sharing"",""ตาก!M302"")"),116605)</f>
        <v>116605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IFERROR(__xludf.DUMMYFUNCTION("IMPORTRANGE(""https://docs.google.com/spreadsheets/d/11923uPwbBZFjjGgGUA6NLw09EwE0CqkOc4q9oUmW1yo/edit?usp=sharing"",""ตาก!M303"")"),0)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IFERROR(__xludf.DUMMYFUNCTION("IMPORTRANGE(""https://docs.google.com/spreadsheets/d/11923uPwbBZFjjGgGUA6NLw09EwE0CqkOc4q9oUmW1yo/edit?usp=sharing"",""ตาก!M305"")"),25744)</f>
        <v>25744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7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IFERROR(__xludf.DUMMYFUNCTION("IMPORTRANGE(""https://docs.google.com/spreadsheets/d/11923uPwbBZFjjGgGUA6NLw09EwE0CqkOc4q9oUmW1yo/edit?usp=sharing"",""ตาก!M330"")"),58558)</f>
        <v>58558</v>
      </c>
      <c r="O435" s="411">
        <f t="shared" ref="O435:O439" ca="1" si="114">+IF(L435&gt;0,N435*100/L435,0)</f>
        <v>58.558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IFERROR(__xludf.DUMMYFUNCTION("IMPORTRANGE(""https://docs.google.com/spreadsheets/d/11923uPwbBZFjjGgGUA6NLw09EwE0CqkOc4q9oUmW1yo/edit?usp=sharing"",""ตาก!M332"")"),58558)</f>
        <v>58558</v>
      </c>
      <c r="O437" s="168">
        <f t="shared" ca="1" si="114"/>
        <v>58.558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IFERROR(__xludf.DUMMYFUNCTION("IMPORTRANGE(""https://docs.google.com/spreadsheets/d/11923uPwbBZFjjGgGUA6NLw09EwE0CqkOc4q9oUmW1yo/edit?usp=sharing"",""ตาก!M334"")"),58558)</f>
        <v>58558</v>
      </c>
      <c r="O439" s="168">
        <f t="shared" ca="1" si="114"/>
        <v>58.558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IFERROR(__xludf.DUMMYFUNCTION("IMPORTRANGE(""https://docs.google.com/spreadsheets/d/11923uPwbBZFjjGgGUA6NLw09EwE0CqkOc4q9oUmW1yo/edit?usp=sharing"",""ตาก!M335"")"),43200)</f>
        <v>43200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IFERROR(__xludf.DUMMYFUNCTION("IMPORTRANGE(""https://docs.google.com/spreadsheets/d/11923uPwbBZFjjGgGUA6NLw09EwE0CqkOc4q9oUmW1yo/edit?usp=sharing"",""ตาก!M338"")"),15358)</f>
        <v>15358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IFERROR(__xludf.DUMMYFUNCTION("IMPORTRANGE(""https://docs.google.com/spreadsheets/d/11923uPwbBZFjjGgGUA6NLw09EwE0CqkOc4q9oUmW1yo/edit?usp=sharing"",""ตาก!L350"")"),461277.68)</f>
        <v>461277.68</v>
      </c>
      <c r="M455" s="372"/>
      <c r="N455" s="372">
        <f ca="1">IFERROR(__xludf.DUMMYFUNCTION("IMPORTRANGE(""https://docs.google.com/spreadsheets/d/11923uPwbBZFjjGgGUA6NLw09EwE0CqkOc4q9oUmW1yo/edit?usp=sharing"",""ตาก!M350"")"),146454)</f>
        <v>146454</v>
      </c>
      <c r="O455" s="372">
        <f t="shared" ref="O455:O459" ca="1" si="116">+IF(L455&gt;0,N455*100/L455,0)</f>
        <v>31.749639392914048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IFERROR(__xludf.DUMMYFUNCTION("IMPORTRANGE(""https://docs.google.com/spreadsheets/d/11923uPwbBZFjjGgGUA6NLw09EwE0CqkOc4q9oUmW1yo/edit?usp=sharing"",""ตาก!L352"")"),461277.68)</f>
        <v>461277.68</v>
      </c>
      <c r="M457" s="165"/>
      <c r="N457" s="168">
        <f ca="1">IFERROR(__xludf.DUMMYFUNCTION("IMPORTRANGE(""https://docs.google.com/spreadsheets/d/11923uPwbBZFjjGgGUA6NLw09EwE0CqkOc4q9oUmW1yo/edit?usp=sharing"",""ตาก!M352"")"),146454)</f>
        <v>146454</v>
      </c>
      <c r="O457" s="168">
        <f t="shared" ca="1" si="116"/>
        <v>31.749639392914048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IFERROR(__xludf.DUMMYFUNCTION("IMPORTRANGE(""https://docs.google.com/spreadsheets/d/11923uPwbBZFjjGgGUA6NLw09EwE0CqkOc4q9oUmW1yo/edit?usp=sharing"",""ตาก!L354"")"),461277.68)</f>
        <v>461277.68</v>
      </c>
      <c r="M459" s="168"/>
      <c r="N459" s="168">
        <f ca="1">IFERROR(__xludf.DUMMYFUNCTION("IMPORTRANGE(""https://docs.google.com/spreadsheets/d/11923uPwbBZFjjGgGUA6NLw09EwE0CqkOc4q9oUmW1yo/edit?usp=sharing"",""ตาก!M354"")"),146454)</f>
        <v>146454</v>
      </c>
      <c r="O459" s="168">
        <f t="shared" ca="1" si="116"/>
        <v>31.749639392914048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IFERROR(__xludf.DUMMYFUNCTION("IMPORTRANGE(""https://docs.google.com/spreadsheets/d/11923uPwbBZFjjGgGUA6NLw09EwE0CqkOc4q9oUmW1yo/edit?usp=sharing"",""ตาก!M357"")"),43266)</f>
        <v>43266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IFERROR(__xludf.DUMMYFUNCTION("IMPORTRANGE(""https://docs.google.com/spreadsheets/d/11923uPwbBZFjjGgGUA6NLw09EwE0CqkOc4q9oUmW1yo/edit?usp=sharing"",""ตาก!M358"")"),103188)</f>
        <v>103188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IFERROR(__xludf.DUMMYFUNCTION("IMPORTRANGE(""https://docs.google.com/spreadsheets/d/11923uPwbBZFjjGgGUA6NLw09EwE0CqkOc4q9oUmW1yo/edit?usp=sharing"",""ตาก!I359"")"),55356)</f>
        <v>55356</v>
      </c>
      <c r="J464" s="266">
        <f ca="1">IFERROR(__xludf.DUMMYFUNCTION("IMPORTRANGE(""https://docs.google.com/spreadsheets/d/11923uPwbBZFjjGgGUA6NLw09EwE0CqkOc4q9oUmW1yo/edit?usp=sharing"",""ตาก!J359"")"),0)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IFERROR(__xludf.DUMMYFUNCTION("IMPORTRANGE(""https://docs.google.com/spreadsheets/d/11923uPwbBZFjjGgGUA6NLw09EwE0CqkOc4q9oUmW1yo/edit?usp=sharing"",""ตาก!I411"")"),0)</f>
        <v>0</v>
      </c>
      <c r="J516" s="266">
        <f ca="1">IFERROR(__xludf.DUMMYFUNCTION("IMPORTRANGE(""https://docs.google.com/spreadsheets/d/11923uPwbBZFjjGgGUA6NLw09EwE0CqkOc4q9oUmW1yo/edit?usp=sharing"",""ตาก!J411"")"),0)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IFERROR(__xludf.DUMMYFUNCTION("IMPORTRANGE(""https://docs.google.com/spreadsheets/d/11923uPwbBZFjjGgGUA6NLw09EwE0CqkOc4q9oUmW1yo/edit?usp=sharing"",""ตาก!I412"")"),0)</f>
        <v>0</v>
      </c>
      <c r="J517" s="283">
        <f ca="1">IFERROR(__xludf.DUMMYFUNCTION("IMPORTRANGE(""https://docs.google.com/spreadsheets/d/11923uPwbBZFjjGgGUA6NLw09EwE0CqkOc4q9oUmW1yo/edit?usp=sharing"",""ตาก!J412"")"),0)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IFERROR(__xludf.DUMMYFUNCTION("IMPORTRANGE(""https://docs.google.com/spreadsheets/d/11923uPwbBZFjjGgGUA6NLw09EwE0CqkOc4q9oUmW1yo/edit?usp=sharing"",""ตาก!I413"")"),0)</f>
        <v>0</v>
      </c>
      <c r="J518" s="283">
        <f ca="1">IFERROR(__xludf.DUMMYFUNCTION("IMPORTRANGE(""https://docs.google.com/spreadsheets/d/11923uPwbBZFjjGgGUA6NLw09EwE0CqkOc4q9oUmW1yo/edit?usp=sharing"",""ตาก!J413"")"),0)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IFERROR(__xludf.DUMMYFUNCTION("IMPORTRANGE(""https://docs.google.com/spreadsheets/d/11923uPwbBZFjjGgGUA6NLw09EwE0CqkOc4q9oUmW1yo/edit?usp=sharing"",""ตาก!I420"")"),112)</f>
        <v>112</v>
      </c>
      <c r="J525" s="283">
        <f ca="1">IFERROR(__xludf.DUMMYFUNCTION("IMPORTRANGE(""https://docs.google.com/spreadsheets/d/11923uPwbBZFjjGgGUA6NLw09EwE0CqkOc4q9oUmW1yo/edit?usp=sharing"",""ตาก!J420"")"),0)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IFERROR(__xludf.DUMMYFUNCTION("IMPORTRANGE(""https://docs.google.com/spreadsheets/d/11923uPwbBZFjjGgGUA6NLw09EwE0CqkOc4q9oUmW1yo/edit?usp=sharing"",""ตาก!I421"")"),3)</f>
        <v>3</v>
      </c>
      <c r="J526" s="283">
        <f ca="1">IFERROR(__xludf.DUMMYFUNCTION("IMPORTRANGE(""https://docs.google.com/spreadsheets/d/11923uPwbBZFjjGgGUA6NLw09EwE0CqkOc4q9oUmW1yo/edit?usp=sharing"",""ตาก!J421"")"),0)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IFERROR(__xludf.DUMMYFUNCTION("IMPORTRANGE(""https://docs.google.com/spreadsheets/d/11923uPwbBZFjjGgGUA6NLw09EwE0CqkOc4q9oUmW1yo/edit?usp=sharing"",""ตาก!M436"")"),0)</f>
        <v>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IFERROR(__xludf.DUMMYFUNCTION("IMPORTRANGE(""https://docs.google.com/spreadsheets/d/11923uPwbBZFjjGgGUA6NLw09EwE0CqkOc4q9oUmW1yo/edit?usp=sharing"",""ตาก!J459"")"),951)</f>
        <v>951</v>
      </c>
      <c r="K564" s="371">
        <f ca="1">IF(I564&gt;0,J564*100/I564,0)</f>
        <v>73.15384615384616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IFERROR(__xludf.DUMMYFUNCTION("IMPORTRANGE(""https://docs.google.com/spreadsheets/d/11923uPwbBZFjjGgGUA6NLw09EwE0CqkOc4q9oUmW1yo/edit?usp=sharing"",""ตาก!M459"")"),49595)</f>
        <v>49595</v>
      </c>
      <c r="O564" s="372">
        <f t="shared" ref="O564:O568" ca="1" si="122">+IF(L564&gt;0,N564*100/L564,0)</f>
        <v>38.721892567145531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IFERROR(__xludf.DUMMYFUNCTION("IMPORTRANGE(""https://docs.google.com/spreadsheets/d/11923uPwbBZFjjGgGUA6NLw09EwE0CqkOc4q9oUmW1yo/edit?usp=sharing"",""ตาก!M461"")"),49595)</f>
        <v>49595</v>
      </c>
      <c r="O566" s="168">
        <f t="shared" ca="1" si="122"/>
        <v>38.721892567145531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IFERROR(__xludf.DUMMYFUNCTION("IMPORTRANGE(""https://docs.google.com/spreadsheets/d/11923uPwbBZFjjGgGUA6NLw09EwE0CqkOc4q9oUmW1yo/edit?usp=sharing"",""ตาก!M463"")"),49595)</f>
        <v>49595</v>
      </c>
      <c r="O568" s="168">
        <f t="shared" ca="1" si="122"/>
        <v>38.721892567145531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IFERROR(__xludf.DUMMYFUNCTION("IMPORTRANGE(""https://docs.google.com/spreadsheets/d/11923uPwbBZFjjGgGUA6NLw09EwE0CqkOc4q9oUmW1yo/edit?usp=sharing"",""ตาก!M466"")"),20935)</f>
        <v>20935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IFERROR(__xludf.DUMMYFUNCTION("IMPORTRANGE(""https://docs.google.com/spreadsheets/d/11923uPwbBZFjjGgGUA6NLw09EwE0CqkOc4q9oUmW1yo/edit?usp=sharing"",""ตาก!J468"")"),951)</f>
        <v>951</v>
      </c>
      <c r="K573" s="201">
        <f ca="1">IF(I573&gt;0,J573*100/I573,0)</f>
        <v>73.15384615384616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IFERROR(__xludf.DUMMYFUNCTION("IMPORTRANGE(""https://docs.google.com/spreadsheets/d/11923uPwbBZFjjGgGUA6NLw09EwE0CqkOc4q9oUmW1yo/edit?usp=sharing"",""ตาก!J471"")"),386)</f>
        <v>386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IFERROR(__xludf.DUMMYFUNCTION("IMPORTRANGE(""https://docs.google.com/spreadsheets/d/11923uPwbBZFjjGgGUA6NLw09EwE0CqkOc4q9oUmW1yo/edit?usp=sharing"",""ตาก!J472"")"),565)</f>
        <v>565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IFERROR(__xludf.DUMMYFUNCTION("IMPORTRANGE(""https://docs.google.com/spreadsheets/d/11923uPwbBZFjjGgGUA6NLw09EwE0CqkOc4q9oUmW1yo/edit?usp=sharing"",""ตาก!M475"")"),97050.25)</f>
        <v>97050.25</v>
      </c>
      <c r="O580" s="372">
        <f t="shared" ref="O580:O584" ca="1" si="124">+IF(L580&gt;0,N580*100/L580,0)</f>
        <v>26.22837954705151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IFERROR(__xludf.DUMMYFUNCTION("IMPORTRANGE(""https://docs.google.com/spreadsheets/d/11923uPwbBZFjjGgGUA6NLw09EwE0CqkOc4q9oUmW1yo/edit?usp=sharing"",""ตาก!M477"")"),97050.25)</f>
        <v>97050.25</v>
      </c>
      <c r="O582" s="168">
        <f t="shared" ca="1" si="124"/>
        <v>26.22837954705151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IFERROR(__xludf.DUMMYFUNCTION("IMPORTRANGE(""https://docs.google.com/spreadsheets/d/11923uPwbBZFjjGgGUA6NLw09EwE0CqkOc4q9oUmW1yo/edit?usp=sharing"",""ตาก!M479"")"),97050.25)</f>
        <v>97050.25</v>
      </c>
      <c r="O584" s="168">
        <f t="shared" ca="1" si="124"/>
        <v>26.22837954705151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IFERROR(__xludf.DUMMYFUNCTION("IMPORTRANGE(""https://docs.google.com/spreadsheets/d/11923uPwbBZFjjGgGUA6NLw09EwE0CqkOc4q9oUmW1yo/edit?usp=sharing"",""ตาก!M482"")"),43266)</f>
        <v>43266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IFERROR(__xludf.DUMMYFUNCTION("IMPORTRANGE(""https://docs.google.com/spreadsheets/d/11923uPwbBZFjjGgGUA6NLw09EwE0CqkOc4q9oUmW1yo/edit?usp=sharing"",""ตาก!M483"")"),53784.25)</f>
        <v>53784.25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IFERROR(__xludf.DUMMYFUNCTION("IMPORTRANGE(""https://docs.google.com/spreadsheets/d/11923uPwbBZFjjGgGUA6NLw09EwE0CqkOc4q9oUmW1yo/edit?usp=sharing"",""ตาก!I491"")"),0)</f>
        <v>0</v>
      </c>
      <c r="J596" s="240">
        <f ca="1">IFERROR(__xludf.DUMMYFUNCTION("IMPORTRANGE(""https://docs.google.com/spreadsheets/d/11923uPwbBZFjjGgGUA6NLw09EwE0CqkOc4q9oUmW1yo/edit?usp=sharing"",""ตาก!J491"")"),0)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7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IFERROR(__xludf.DUMMYFUNCTION("IMPORTRANGE(""https://docs.google.com/spreadsheets/d/11923uPwbBZFjjGgGUA6NLw09EwE0CqkOc4q9oUmW1yo/edit?usp=sharing"",""ตาก!L492"")"),8100)</f>
        <v>8100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9.8765432098765427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IFERROR(__xludf.DUMMYFUNCTION("IMPORTRANGE(""https://docs.google.com/spreadsheets/d/11923uPwbBZFjjGgGUA6NLw09EwE0CqkOc4q9oUmW1yo/edit?usp=sharing"",""ตาก!I523"")"),2024605.17)</f>
        <v>2024605.17</v>
      </c>
      <c r="J628" s="340">
        <f ca="1">IFERROR(__xludf.DUMMYFUNCTION("IMPORTRANGE(""https://docs.google.com/spreadsheets/d/11923uPwbBZFjjGgGUA6NLw09EwE0CqkOc4q9oUmW1yo/edit?usp=sharing"",""ตาก!J523"")"),457400.56)</f>
        <v>457400.56</v>
      </c>
      <c r="K628" s="341">
        <f t="shared" ref="K628:K635" ca="1" si="129">IF(I628&gt;0,J628*100/I628,0)</f>
        <v>22.592086930213657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IFERROR(__xludf.DUMMYFUNCTION("IMPORTRANGE(""https://docs.google.com/spreadsheets/d/11923uPwbBZFjjGgGUA6NLw09EwE0CqkOc4q9oUmW1yo/edit?usp=sharing"",""ตาก!I524"")"),177)</f>
        <v>177</v>
      </c>
      <c r="J629" s="340">
        <f ca="1">IFERROR(__xludf.DUMMYFUNCTION("IMPORTRANGE(""https://docs.google.com/spreadsheets/d/11923uPwbBZFjjGgGUA6NLw09EwE0CqkOc4q9oUmW1yo/edit?usp=sharing"",""ตาก!J524"")"),52)</f>
        <v>52</v>
      </c>
      <c r="K629" s="341">
        <f t="shared" ca="1" si="129"/>
        <v>29.378531073446329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IFERROR(__xludf.DUMMYFUNCTION("IMPORTRANGE(""https://docs.google.com/spreadsheets/d/11923uPwbBZFjjGgGUA6NLw09EwE0CqkOc4q9oUmW1yo/edit?usp=sharing"",""ตาก!I525"")"),7699315.18)</f>
        <v>7699315.1799999997</v>
      </c>
      <c r="J630" s="340">
        <f ca="1">IFERROR(__xludf.DUMMYFUNCTION("IMPORTRANGE(""https://docs.google.com/spreadsheets/d/11923uPwbBZFjjGgGUA6NLw09EwE0CqkOc4q9oUmW1yo/edit?usp=sharing"",""ตาก!J525"")"),341832.3)</f>
        <v>341832.3</v>
      </c>
      <c r="K630" s="341">
        <f t="shared" ca="1" si="129"/>
        <v>4.4397753827243633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IFERROR(__xludf.DUMMYFUNCTION("IMPORTRANGE(""https://docs.google.com/spreadsheets/d/11923uPwbBZFjjGgGUA6NLw09EwE0CqkOc4q9oUmW1yo/edit?usp=sharing"",""ตาก!I526"")"),292)</f>
        <v>292</v>
      </c>
      <c r="J631" s="340">
        <f ca="1">IFERROR(__xludf.DUMMYFUNCTION("IMPORTRANGE(""https://docs.google.com/spreadsheets/d/11923uPwbBZFjjGgGUA6NLw09EwE0CqkOc4q9oUmW1yo/edit?usp=sharing"",""ตาก!J526"")"),139)</f>
        <v>139</v>
      </c>
      <c r="K631" s="341">
        <f t="shared" ca="1" si="129"/>
        <v>47.602739726027394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IFERROR(__xludf.DUMMYFUNCTION("IMPORTRANGE(""https://docs.google.com/spreadsheets/d/11923uPwbBZFjjGgGUA6NLw09EwE0CqkOc4q9oUmW1yo/edit?usp=sharing"",""ตาก!I527"")"),0)</f>
        <v>0</v>
      </c>
      <c r="J632" s="340">
        <f ca="1">IFERROR(__xludf.DUMMYFUNCTION("IMPORTRANGE(""https://docs.google.com/spreadsheets/d/11923uPwbBZFjjGgGUA6NLw09EwE0CqkOc4q9oUmW1yo/edit?usp=sharing"",""ตาก!J527"")"),0)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IFERROR(__xludf.DUMMYFUNCTION("IMPORTRANGE(""https://docs.google.com/spreadsheets/d/11923uPwbBZFjjGgGUA6NLw09EwE0CqkOc4q9oUmW1yo/edit?usp=sharing"",""ตาก!I528"")"),0)</f>
        <v>0</v>
      </c>
      <c r="J633" s="340">
        <f ca="1">IFERROR(__xludf.DUMMYFUNCTION("IMPORTRANGE(""https://docs.google.com/spreadsheets/d/11923uPwbBZFjjGgGUA6NLw09EwE0CqkOc4q9oUmW1yo/edit?usp=sharing"",""ตาก!J528"")"),0)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IFERROR(__xludf.DUMMYFUNCTION("IMPORTRANGE(""https://docs.google.com/spreadsheets/d/11923uPwbBZFjjGgGUA6NLw09EwE0CqkOc4q9oUmW1yo/edit?usp=sharing"",""ตาก!I529"")"),3000000)</f>
        <v>3000000</v>
      </c>
      <c r="J634" s="340">
        <f ca="1">IFERROR(__xludf.DUMMYFUNCTION("IMPORTRANGE(""https://docs.google.com/spreadsheets/d/11923uPwbBZFjjGgGUA6NLw09EwE0CqkOc4q9oUmW1yo/edit?usp=sharing"",""ตาก!J529"")"),0)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IFERROR(__xludf.DUMMYFUNCTION("IMPORTRANGE(""https://docs.google.com/spreadsheets/d/11923uPwbBZFjjGgGUA6NLw09EwE0CqkOc4q9oUmW1yo/edit?usp=sharing"",""ตาก!I530"")"),100)</f>
        <v>100</v>
      </c>
      <c r="J635" s="504">
        <f ca="1">IFERROR(__xludf.DUMMYFUNCTION("IMPORTRANGE(""https://docs.google.com/spreadsheets/d/11923uPwbBZFjjGgGUA6NLw09EwE0CqkOc4q9oUmW1yo/edit?usp=sharing"",""ตาก!J530"")"),0)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N568" sqref="N56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363281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246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6421128.4399999995</v>
      </c>
      <c r="M8" s="23">
        <f t="shared" ca="1" si="0"/>
        <v>3280141.2</v>
      </c>
      <c r="N8" s="23">
        <f t="shared" ca="1" si="0"/>
        <v>3227253</v>
      </c>
      <c r="O8" s="22">
        <f t="shared" ref="O8:O16" ca="1" si="1">IF(L8&gt;0,N8*100/L8,0)</f>
        <v>50.259904161020025</v>
      </c>
      <c r="P8" s="22">
        <f t="shared" ref="P8:P16" ca="1" si="2">IF(M8&gt;0,N8*100/M8,0)</f>
        <v>98.387624288856827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6421128.4399999995</v>
      </c>
      <c r="M10" s="30">
        <f t="shared" ca="1" si="4"/>
        <v>3280141.2</v>
      </c>
      <c r="N10" s="30">
        <f t="shared" ca="1" si="4"/>
        <v>3227253</v>
      </c>
      <c r="O10" s="29">
        <f t="shared" ca="1" si="1"/>
        <v>50.259904161020025</v>
      </c>
      <c r="P10" s="29">
        <f t="shared" ca="1" si="2"/>
        <v>98.387624288856827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6223728.4399999995</v>
      </c>
      <c r="M12" s="39">
        <f t="shared" ca="1" si="6"/>
        <v>3082741.2</v>
      </c>
      <c r="N12" s="39">
        <f t="shared" ca="1" si="6"/>
        <v>3029853</v>
      </c>
      <c r="O12" s="39">
        <f t="shared" ca="1" si="1"/>
        <v>48.682281516768754</v>
      </c>
      <c r="P12" s="39">
        <f t="shared" ca="1" si="2"/>
        <v>98.284377553328184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2242900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3980828.44</v>
      </c>
      <c r="M14" s="39">
        <f t="shared" si="8"/>
        <v>0</v>
      </c>
      <c r="N14" s="39">
        <f t="shared" ca="1" si="8"/>
        <v>676052</v>
      </c>
      <c r="O14" s="39">
        <f t="shared" ca="1" si="1"/>
        <v>16.982696194764927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197400</v>
      </c>
      <c r="M16" s="39">
        <f t="shared" ca="1" si="10"/>
        <v>197400</v>
      </c>
      <c r="N16" s="39">
        <f t="shared" ca="1" si="10"/>
        <v>197400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4126815</v>
      </c>
      <c r="M18" s="23">
        <f t="shared" ca="1" si="11"/>
        <v>3280141.2</v>
      </c>
      <c r="N18" s="23">
        <f t="shared" ca="1" si="11"/>
        <v>2551201</v>
      </c>
      <c r="O18" s="22">
        <f t="shared" ref="O18:O20" ca="1" si="12">IF(L18&gt;0,N18*100/L18,0)</f>
        <v>61.820096127400916</v>
      </c>
      <c r="P18" s="22">
        <f t="shared" ref="P18:P26" ca="1" si="13">IF(M18&gt;0,N18*100/M18,0)</f>
        <v>77.777170080361174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4126815</v>
      </c>
      <c r="M20" s="30">
        <f t="shared" ca="1" si="15"/>
        <v>3280141.2</v>
      </c>
      <c r="N20" s="30">
        <f t="shared" ca="1" si="15"/>
        <v>2551201</v>
      </c>
      <c r="O20" s="29">
        <f t="shared" ca="1" si="12"/>
        <v>61.820096127400916</v>
      </c>
      <c r="P20" s="29">
        <f t="shared" ca="1" si="13"/>
        <v>77.777170080361174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3929415</v>
      </c>
      <c r="M22" s="42">
        <f t="shared" ca="1" si="18"/>
        <v>3082741.2</v>
      </c>
      <c r="N22" s="39">
        <f t="shared" ca="1" si="18"/>
        <v>2353801</v>
      </c>
      <c r="O22" s="39">
        <f t="shared" ca="1" si="17"/>
        <v>59.902071936916819</v>
      </c>
      <c r="P22" s="39">
        <f t="shared" ca="1" si="13"/>
        <v>76.354155191489966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2242900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1686515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197400</v>
      </c>
      <c r="M26" s="50">
        <f t="shared" ca="1" si="22"/>
        <v>197400</v>
      </c>
      <c r="N26" s="50">
        <f t="shared" ca="1" si="22"/>
        <v>197400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2294313.44</v>
      </c>
      <c r="M28" s="23">
        <f t="shared" si="23"/>
        <v>0</v>
      </c>
      <c r="N28" s="23">
        <f t="shared" ca="1" si="23"/>
        <v>676052</v>
      </c>
      <c r="O28" s="22">
        <f t="shared" ref="O28:O30" ca="1" si="24">IF(L28&gt;0,N28*100/L28,0)</f>
        <v>29.46641850295747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2294313.44</v>
      </c>
      <c r="M30" s="30">
        <f t="shared" si="27"/>
        <v>0</v>
      </c>
      <c r="N30" s="30">
        <f t="shared" ca="1" si="27"/>
        <v>676052</v>
      </c>
      <c r="O30" s="29">
        <f t="shared" ca="1" si="24"/>
        <v>29.46641850295747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2294313.44</v>
      </c>
      <c r="M32" s="39">
        <f t="shared" si="30"/>
        <v>0</v>
      </c>
      <c r="N32" s="39">
        <f t="shared" ca="1" si="30"/>
        <v>676052</v>
      </c>
      <c r="O32" s="39">
        <f t="shared" ca="1" si="29"/>
        <v>29.46641850295747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2294313.44</v>
      </c>
      <c r="M34" s="39">
        <f t="shared" si="32"/>
        <v>0</v>
      </c>
      <c r="N34" s="39">
        <f t="shared" ca="1" si="32"/>
        <v>676052</v>
      </c>
      <c r="O34" s="39">
        <f t="shared" ca="1" si="29"/>
        <v>29.46641850295747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4126815</v>
      </c>
      <c r="M37" s="55">
        <f t="shared" ca="1" si="33"/>
        <v>3280141.2</v>
      </c>
      <c r="N37" s="55">
        <f t="shared" ca="1" si="33"/>
        <v>2551201</v>
      </c>
      <c r="O37" s="56">
        <f t="shared" ca="1" si="29"/>
        <v>61.820096127400916</v>
      </c>
      <c r="P37" s="56">
        <f t="shared" ca="1" si="25"/>
        <v>77.777170080361174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770280</v>
      </c>
      <c r="N41" s="79">
        <f t="shared" ca="1" si="34"/>
        <v>703350.77</v>
      </c>
      <c r="O41" s="78">
        <f t="shared" ref="O41:O43" ca="1" si="35">IF(L41&gt;0,N41*100/L41,0)</f>
        <v>73.865865364419236</v>
      </c>
      <c r="P41" s="78">
        <f t="shared" ref="P41:P43" ca="1" si="36">IF(M41&gt;0,N41*100/M41,0)</f>
        <v>91.311051825310273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770280</v>
      </c>
      <c r="N43" s="79">
        <f t="shared" ca="1" si="38"/>
        <v>703350.77</v>
      </c>
      <c r="O43" s="78">
        <f t="shared" ca="1" si="35"/>
        <v>73.865865364419236</v>
      </c>
      <c r="P43" s="78">
        <f t="shared" ca="1" si="36"/>
        <v>91.311051825310273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952200</v>
      </c>
      <c r="M45" s="50">
        <f ca="1">IFERROR(__xludf.DUMMYFUNCTION("IMPORTRANGE(""https://docs.google.com/spreadsheets/d/1Yj_ptqi66GCucihVvJfMjLAmec39IyEx_6qawtMGysU/edit?usp=sharing"",""สบก!Q24"")"),770280)</f>
        <v>770280</v>
      </c>
      <c r="N45" s="50">
        <f ca="1">IFERROR(__xludf.DUMMYFUNCTION("IMPORTRANGE(""https://docs.google.com/spreadsheets/d/1Yj_ptqi66GCucihVvJfMjLAmec39IyEx_6qawtMGysU/edit?usp=sharing"",""สบก!R24"")"),703350.77)</f>
        <v>703350.77</v>
      </c>
      <c r="O45" s="39">
        <f ca="1">IF(L45&gt;0,N45*100/L45,0)</f>
        <v>73.865865364419236</v>
      </c>
      <c r="P45" s="39">
        <f ca="1">IF(M45&gt;0,N45*100/M45,0)</f>
        <v>91.311051825310273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IFERROR(__xludf.DUMMYFUNCTION("IMPORTRANGE(""https://docs.google.com/spreadsheets/d/1Yj_ptqi66GCucihVvJfMjLAmec39IyEx_6qawtMGysU/edit?usp=sharing"",""สบก!M24"")"),952200)</f>
        <v>952200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365671.2</v>
      </c>
      <c r="N53" s="121">
        <f t="shared" ca="1" si="39"/>
        <v>322990</v>
      </c>
      <c r="O53" s="120">
        <f t="shared" ref="O53:O55" ca="1" si="40">IF(L53&gt;0,N53*100/L53,0)</f>
        <v>71.775555555555556</v>
      </c>
      <c r="P53" s="120">
        <f t="shared" ref="P53:P55" ca="1" si="41">IF(M53&gt;0,N53*100/M53,0)</f>
        <v>88.327984265646293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365671.2</v>
      </c>
      <c r="N55" s="121">
        <f t="shared" ca="1" si="43"/>
        <v>322990</v>
      </c>
      <c r="O55" s="120">
        <f t="shared" ca="1" si="40"/>
        <v>71.775555555555556</v>
      </c>
      <c r="P55" s="120">
        <f t="shared" ca="1" si="41"/>
        <v>88.327984265646293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IFERROR(__xludf.DUMMYFUNCTION("IMPORTRANGE(""https://docs.google.com/spreadsheets/d/1Yj_ptqi66GCucihVvJfMjLAmec39IyEx_6qawtMGysU/edit?usp=sharing"",""สบก!Z24"")"),365671.2)</f>
        <v>365671.2</v>
      </c>
      <c r="N57" s="50">
        <f ca="1">IFERROR(__xludf.DUMMYFUNCTION("IMPORTRANGE(""https://docs.google.com/spreadsheets/d/1Yj_ptqi66GCucihVvJfMjLAmec39IyEx_6qawtMGysU/edit?usp=sharing"",""สบก!AA24"")"),322990)</f>
        <v>322990</v>
      </c>
      <c r="O57" s="39">
        <f ca="1">IF(L57&gt;0,N57*100/L57,0)</f>
        <v>71.775555555555556</v>
      </c>
      <c r="P57" s="39">
        <f ca="1">IF(M57&gt;0,N57*100/M57,0)</f>
        <v>88.327984265646293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IFERROR(__xludf.DUMMYFUNCTION("IMPORTRANGE(""https://docs.google.com/spreadsheets/d/1Yj_ptqi66GCucihVvJfMjLAmec39IyEx_6qawtMGysU/edit?usp=sharing"",""สบก!V24"")"),450000)</f>
        <v>450000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605220</v>
      </c>
      <c r="N66" s="152">
        <f t="shared" ca="1" si="45"/>
        <v>512378.53</v>
      </c>
      <c r="O66" s="151">
        <f t="shared" ref="O66:O68" ca="1" si="46">IF(L66&gt;0,N66*100/L66,0)</f>
        <v>68.72951441985245</v>
      </c>
      <c r="P66" s="151">
        <f t="shared" ref="P66:P68" ca="1" si="47">IF(M66&gt;0,N66*100/M66,0)</f>
        <v>84.659880704537187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745500</v>
      </c>
      <c r="M68" s="88">
        <f t="shared" ca="1" si="49"/>
        <v>605220</v>
      </c>
      <c r="N68" s="88">
        <f t="shared" ca="1" si="49"/>
        <v>512378.53</v>
      </c>
      <c r="O68" s="156">
        <f t="shared" ca="1" si="46"/>
        <v>68.72951441985245</v>
      </c>
      <c r="P68" s="156">
        <f t="shared" ca="1" si="47"/>
        <v>84.659880704537187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IFERROR(__xludf.DUMMYFUNCTION("IMPORTRANGE(""https://docs.google.com/spreadsheets/d/1Yj_ptqi66GCucihVvJfMjLAmec39IyEx_6qawtMGysU/edit?usp=sharing"",""สบก!AI24"")"),605220)</f>
        <v>605220</v>
      </c>
      <c r="N70" s="168">
        <f ca="1">IFERROR(__xludf.DUMMYFUNCTION("IMPORTRANGE(""https://docs.google.com/spreadsheets/d/1Yj_ptqi66GCucihVvJfMjLAmec39IyEx_6qawtMGysU/edit?usp=sharing"",""สบก!AJ24"")"),512378.53)</f>
        <v>512378.53</v>
      </c>
      <c r="O70" s="168">
        <f ca="1">IF(L70&gt;0,N70*100/L70,0)</f>
        <v>68.72951441985245</v>
      </c>
      <c r="P70" s="168">
        <f ca="1">IF(M70&gt;0,N70*100/M70,0)</f>
        <v>84.659880704537187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IFERROR(__xludf.DUMMYFUNCTION("IMPORTRANGE(""https://docs.google.com/spreadsheets/d/1Yj_ptqi66GCucihVvJfMjLAmec39IyEx_6qawtMGysU/edit?usp=sharing"",""สบก!AG24"")"),0)</f>
        <v>0</v>
      </c>
      <c r="M74" s="50"/>
      <c r="N74" s="50">
        <f ca="1">IFERROR(__xludf.DUMMYFUNCTION("IMPORTRANGE(""https://docs.google.com/spreadsheets/d/1Yj_ptqi66GCucihVvJfMjLAmec39IyEx_6qawtMGysU/edit?usp=sharing"",""สบก!AK24"")"),0)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IFERROR(__xludf.DUMMYFUNCTION("IMPORTRANGE(""https://docs.google.com/spreadsheets/d/11923uPwbBZFjjGgGUA6NLw09EwE0CqkOc4q9oUmW1yo/edit?usp=sharing"",""นครสวรรค์!I28"")"),0)</f>
        <v>0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117320</v>
      </c>
      <c r="O94" s="151">
        <f t="shared" ref="O94:O96" ca="1" si="53">IF(L94&gt;0,N94*100/L94,0)</f>
        <v>54.694638694638698</v>
      </c>
      <c r="P94" s="151">
        <f t="shared" ref="P94:P96" ca="1" si="54">IF(M94&gt;0,N94*100/M94,0)</f>
        <v>54.694638694638698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117320</v>
      </c>
      <c r="O96" s="156">
        <f t="shared" ca="1" si="53"/>
        <v>54.694638694638698</v>
      </c>
      <c r="P96" s="156">
        <f t="shared" ca="1" si="54"/>
        <v>54.694638694638698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IFERROR(__xludf.DUMMYFUNCTION("IMPORTRANGE(""https://docs.google.com/spreadsheets/d/1Yj_ptqi66GCucihVvJfMjLAmec39IyEx_6qawtMGysU/edit?usp=sharing"",""สบก!AR24"")"),122100)</f>
        <v>122100</v>
      </c>
      <c r="N98" s="168">
        <f ca="1">IFERROR(__xludf.DUMMYFUNCTION("IMPORTRANGE(""https://docs.google.com/spreadsheets/d/1Yj_ptqi66GCucihVvJfMjLAmec39IyEx_6qawtMGysU/edit?usp=sharing"",""สบก!AS24"")"),24920)</f>
        <v>24920</v>
      </c>
      <c r="O98" s="168">
        <f ca="1">IF(L98&gt;0,N98*100/L98,0)</f>
        <v>20.40950040950041</v>
      </c>
      <c r="P98" s="168">
        <f ca="1">IF(M98&gt;0,N98*100/M98,0)</f>
        <v>20.40950040950041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IFERROR(__xludf.DUMMYFUNCTION("IMPORTRANGE(""https://docs.google.com/spreadsheets/d/11923uPwbBZFjjGgGUA6NLw09EwE0CqkOc4q9oUmW1yo/edit?usp=sharing"",""นครสวรรค์!J50"")"),0)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48250</v>
      </c>
      <c r="O118" s="151">
        <f t="shared" ref="O118:O120" ca="1" si="59">IF(L118&gt;0,N118*100/L118,0)</f>
        <v>58.527413876758857</v>
      </c>
      <c r="P118" s="151">
        <f t="shared" ref="P118:P120" ca="1" si="60">IF(M118&gt;0,N118*100/M118,0)</f>
        <v>58.527413876758857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48250</v>
      </c>
      <c r="O120" s="156">
        <f t="shared" ca="1" si="59"/>
        <v>58.527413876758857</v>
      </c>
      <c r="P120" s="156">
        <f t="shared" ca="1" si="60"/>
        <v>58.527413876758857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IFERROR(__xludf.DUMMYFUNCTION("IMPORTRANGE(""https://docs.google.com/spreadsheets/d/1Yj_ptqi66GCucihVvJfMjLAmec39IyEx_6qawtMGysU/edit?usp=sharing"",""สบก!BA24"")"),82440)</f>
        <v>82440</v>
      </c>
      <c r="N122" s="168">
        <f ca="1">IFERROR(__xludf.DUMMYFUNCTION("IMPORTRANGE(""https://docs.google.com/spreadsheets/d/1Yj_ptqi66GCucihVvJfMjLAmec39IyEx_6qawtMGysU/edit?usp=sharing"",""สบก!BB24"")"),48250)</f>
        <v>48250</v>
      </c>
      <c r="O122" s="168">
        <f ca="1">IF(L122&gt;0,N122*100/L122,0)</f>
        <v>58.527413876758857</v>
      </c>
      <c r="P122" s="168">
        <f ca="1">IF(M122&gt;0,N122*100/M122,0)</f>
        <v>58.527413876758857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247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IFERROR(__xludf.DUMMYFUNCTION("IMPORTRANGE(""https://docs.google.com/spreadsheets/d/11923uPwbBZFjjGgGUA6NLw09EwE0CqkOc4q9oUmW1yo/edit?usp=sharing"",""นครสวรรค์!J65"")"),0)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IFERROR(__xludf.DUMMYFUNCTION("IMPORTRANGE(""https://docs.google.com/spreadsheets/d/11923uPwbBZFjjGgGUA6NLw09EwE0CqkOc4q9oUmW1yo/edit?usp=sharing"",""นครสวรรค์!I68"")"),0)</f>
        <v>0</v>
      </c>
      <c r="J138" s="266">
        <f ca="1">IFERROR(__xludf.DUMMYFUNCTION("IMPORTRANGE(""https://docs.google.com/spreadsheets/d/11923uPwbBZFjjGgGUA6NLw09EwE0CqkOc4q9oUmW1yo/edit?usp=sharing"",""นครสวรรค์!J68"")"),0)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163500</v>
      </c>
      <c r="M140" s="152">
        <f t="shared" ca="1" si="64"/>
        <v>83625</v>
      </c>
      <c r="N140" s="152">
        <f t="shared" ca="1" si="64"/>
        <v>79500</v>
      </c>
      <c r="O140" s="151">
        <f t="shared" ref="O140:O142" ca="1" si="65">IF(L140&gt;0,N140*100/L140,0)</f>
        <v>48.623853211009177</v>
      </c>
      <c r="P140" s="151">
        <f t="shared" ref="P140:P142" ca="1" si="66">IF(M140&gt;0,N140*100/M140,0)</f>
        <v>95.067264573991025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163500</v>
      </c>
      <c r="M142" s="88">
        <f t="shared" ca="1" si="68"/>
        <v>83625</v>
      </c>
      <c r="N142" s="88">
        <f t="shared" ca="1" si="68"/>
        <v>79500</v>
      </c>
      <c r="O142" s="156">
        <f t="shared" ca="1" si="65"/>
        <v>48.623853211009177</v>
      </c>
      <c r="P142" s="156">
        <f t="shared" ca="1" si="66"/>
        <v>95.067264573991025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163500</v>
      </c>
      <c r="M144" s="167">
        <f ca="1">IFERROR(__xludf.DUMMYFUNCTION("IMPORTRANGE(""https://docs.google.com/spreadsheets/d/1Yj_ptqi66GCucihVvJfMjLAmec39IyEx_6qawtMGysU/edit?usp=sharing"",""สบก!BJ24"")"),83625)</f>
        <v>83625</v>
      </c>
      <c r="N144" s="168">
        <f ca="1">IFERROR(__xludf.DUMMYFUNCTION("IMPORTRANGE(""https://docs.google.com/spreadsheets/d/1Yj_ptqi66GCucihVvJfMjLAmec39IyEx_6qawtMGysU/edit?usp=sharing"",""สบก!BK24"")"),79500)</f>
        <v>79500</v>
      </c>
      <c r="O144" s="168">
        <f ca="1">IF(L144&gt;0,N144*100/L144,0)</f>
        <v>48.623853211009177</v>
      </c>
      <c r="P144" s="168">
        <f ca="1">IF(M144&gt;0,N144*100/M144,0)</f>
        <v>95.067264573991025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IFERROR(__xludf.DUMMYFUNCTION("IMPORTRANGE(""https://docs.google.com/spreadsheets/d/1Yj_ptqi66GCucihVvJfMjLAmec39IyEx_6qawtMGysU/edit?usp=sharing"",""สบก!BG24"")"),163500)</f>
        <v>163500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IFERROR(__xludf.DUMMYFUNCTION("IMPORTRANGE(""https://docs.google.com/spreadsheets/d/11923uPwbBZFjjGgGUA6NLw09EwE0CqkOc4q9oUmW1yo/edit?usp=sharing"",""นครสวรรค์!I74"")"),4)</f>
        <v>4</v>
      </c>
      <c r="J149" s="274">
        <f ca="1">IFERROR(__xludf.DUMMYFUNCTION("IMPORTRANGE(""https://docs.google.com/spreadsheets/d/11923uPwbBZFjjGgGUA6NLw09EwE0CqkOc4q9oUmW1yo/edit?usp=sharing"",""นครสวรรค์!J74"")"),2)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IFERROR(__xludf.DUMMYFUNCTION("IMPORTRANGE(""https://docs.google.com/spreadsheets/d/11923uPwbBZFjjGgGUA6NLw09EwE0CqkOc4q9oUmW1yo/edit?usp=sharing"",""นครสวรรค์!J85"")"),66)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IFERROR(__xludf.DUMMYFUNCTION("IMPORTRANGE(""https://docs.google.com/spreadsheets/d/11923uPwbBZFjjGgGUA6NLw09EwE0CqkOc4q9oUmW1yo/edit?usp=sharing"",""นครสวรรค์!I89"")"),5)</f>
        <v>5</v>
      </c>
      <c r="J164" s="283">
        <f ca="1">IFERROR(__xludf.DUMMYFUNCTION("IMPORTRANGE(""https://docs.google.com/spreadsheets/d/11923uPwbBZFjjGgGUA6NLw09EwE0CqkOc4q9oUmW1yo/edit?usp=sharing"",""นครสวรรค์!J89"")"),5)</f>
        <v>5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IFERROR(__xludf.DUMMYFUNCTION("IMPORTRANGE(""https://docs.google.com/spreadsheets/d/11923uPwbBZFjjGgGUA6NLw09EwE0CqkOc4q9oUmW1yo/edit?usp=sharing"",""นครสวรรค์!I101"")"),0)</f>
        <v>0</v>
      </c>
      <c r="J176" s="283">
        <f ca="1">IFERROR(__xludf.DUMMYFUNCTION("IMPORTRANGE(""https://docs.google.com/spreadsheets/d/11923uPwbBZFjjGgGUA6NLw09EwE0CqkOc4q9oUmW1yo/edit?usp=sharing"",""นครสวรรค์!J101"")"),0)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IFERROR(__xludf.DUMMYFUNCTION("IMPORTRANGE(""https://docs.google.com/spreadsheets/d/11923uPwbBZFjjGgGUA6NLw09EwE0CqkOc4q9oUmW1yo/edit?usp=sharing"",""นครสวรรค์!J113"")"),0)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IFERROR(__xludf.DUMMYFUNCTION("IMPORTRANGE(""https://docs.google.com/spreadsheets/d/11923uPwbBZFjjGgGUA6NLw09EwE0CqkOc4q9oUmW1yo/edit?usp=sharing"",""นครสวรรค์!I114"")"),300000)</f>
        <v>300000</v>
      </c>
      <c r="J189" s="283">
        <f ca="1">IFERROR(__xludf.DUMMYFUNCTION("IMPORTRANGE(""https://docs.google.com/spreadsheets/d/11923uPwbBZFjjGgGUA6NLw09EwE0CqkOc4q9oUmW1yo/edit?usp=sharing"",""นครสวรรค์!J114"")"),0)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IFERROR(__xludf.DUMMYFUNCTION("IMPORTRANGE(""https://docs.google.com/spreadsheets/d/11923uPwbBZFjjGgGUA6NLw09EwE0CqkOc4q9oUmW1yo/edit?usp=sharing"",""นครสวรรค์!J128"")"),0)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IFERROR(__xludf.DUMMYFUNCTION("IMPORTRANGE(""https://docs.google.com/spreadsheets/d/11923uPwbBZFjjGgGUA6NLw09EwE0CqkOc4q9oUmW1yo/edit?usp=sharing"",""นครสวรรค์!I129"")"),0)</f>
        <v>0</v>
      </c>
      <c r="J204" s="283">
        <f ca="1">IFERROR(__xludf.DUMMYFUNCTION("IMPORTRANGE(""https://docs.google.com/spreadsheets/d/11923uPwbBZFjjGgGUA6NLw09EwE0CqkOc4q9oUmW1yo/edit?usp=sharing"",""นครสวรรค์!J129"")"),0)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IFERROR(__xludf.DUMMYFUNCTION("IMPORTRANGE(""https://docs.google.com/spreadsheets/d/11923uPwbBZFjjGgGUA6NLw09EwE0CqkOc4q9oUmW1yo/edit?usp=sharing"",""นครสวรรค์!J143"")"),0)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IFERROR(__xludf.DUMMYFUNCTION("IMPORTRANGE(""https://docs.google.com/spreadsheets/d/11923uPwbBZFjjGgGUA6NLw09EwE0CqkOc4q9oUmW1yo/edit?usp=sharing"",""นครสวรรค์!I144"")"),15)</f>
        <v>15</v>
      </c>
      <c r="J219" s="266">
        <f ca="1">IFERROR(__xludf.DUMMYFUNCTION("IMPORTRANGE(""https://docs.google.com/spreadsheets/d/11923uPwbBZFjjGgGUA6NLw09EwE0CqkOc4q9oUmW1yo/edit?usp=sharing"",""นครสวรรค์!J144"")"),15)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IFERROR(__xludf.DUMMYFUNCTION("IMPORTRANGE(""https://docs.google.com/spreadsheets/d/11923uPwbBZFjjGgGUA6NLw09EwE0CqkOc4q9oUmW1yo/edit?usp=sharing"",""นครสวรรค์!I149"")"),15)</f>
        <v>15</v>
      </c>
      <c r="J229" s="266">
        <f ca="1">IFERROR(__xludf.DUMMYFUNCTION("IMPORTRANGE(""https://docs.google.com/spreadsheets/d/11923uPwbBZFjjGgGUA6NLw09EwE0CqkOc4q9oUmW1yo/edit?usp=sharing"",""นครสวรรค์!J149"")"),15)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IFERROR(__xludf.DUMMYFUNCTION("IMPORTRANGE(""https://docs.google.com/spreadsheets/d/11923uPwbBZFjjGgGUA6NLw09EwE0CqkOc4q9oUmW1yo/edit?usp=sharing"",""นครสวรรค์!J157"")"),0)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IFERROR(__xludf.DUMMYFUNCTION("IMPORTRANGE(""https://docs.google.com/spreadsheets/d/11923uPwbBZFjjGgGUA6NLw09EwE0CqkOc4q9oUmW1yo/edit?usp=sharing"",""นครสวรรค์!I158"")"),0)</f>
        <v>0</v>
      </c>
      <c r="J238" s="266">
        <f ca="1">IFERROR(__xludf.DUMMYFUNCTION("IMPORTRANGE(""https://docs.google.com/spreadsheets/d/11923uPwbBZFjjGgGUA6NLw09EwE0CqkOc4q9oUmW1yo/edit?usp=sharing"",""นครสวรรค์!J158"")"),0)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IFERROR(__xludf.DUMMYFUNCTION("IMPORTRANGE(""https://docs.google.com/spreadsheets/d/11923uPwbBZFjjGgGUA6NLw09EwE0CqkOc4q9oUmW1yo/edit?usp=sharing"",""นครสวรรค์!J166"")"),0)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IFERROR(__xludf.DUMMYFUNCTION("IMPORTRANGE(""https://docs.google.com/spreadsheets/d/11923uPwbBZFjjGgGUA6NLw09EwE0CqkOc4q9oUmW1yo/edit?usp=sharing"",""นครสวรรค์!I169"")"),25)</f>
        <v>25</v>
      </c>
      <c r="J249" s="315">
        <f ca="1">IFERROR(__xludf.DUMMYFUNCTION("IMPORTRANGE(""https://docs.google.com/spreadsheets/d/11923uPwbBZFjjGgGUA6NLw09EwE0CqkOc4q9oUmW1yo/edit?usp=sharing"",""นครสวรรค์!J169"")"),25)</f>
        <v>25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53144</v>
      </c>
      <c r="O250" s="151">
        <f t="shared" ref="O250:O252" ca="1" si="78">IF(L250&gt;0,N250*100/L250,0)</f>
        <v>59.7123595505618</v>
      </c>
      <c r="P250" s="151">
        <f t="shared" ref="P250:P252" ca="1" si="79">IF(M250&gt;0,N250*100/M250,0)</f>
        <v>111.8821052631579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47500</v>
      </c>
      <c r="N252" s="88">
        <f t="shared" ca="1" si="81"/>
        <v>53144</v>
      </c>
      <c r="O252" s="156">
        <f t="shared" ca="1" si="78"/>
        <v>59.7123595505618</v>
      </c>
      <c r="P252" s="156">
        <f t="shared" ca="1" si="79"/>
        <v>111.8821052631579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IFERROR(__xludf.DUMMYFUNCTION("IMPORTRANGE(""https://docs.google.com/spreadsheets/d/1Yj_ptqi66GCucihVvJfMjLAmec39IyEx_6qawtMGysU/edit?usp=sharing"",""สบก!CB24"")"),47500)</f>
        <v>47500</v>
      </c>
      <c r="N254" s="168">
        <f ca="1">IFERROR(__xludf.DUMMYFUNCTION("IMPORTRANGE(""https://docs.google.com/spreadsheets/d/1Yj_ptqi66GCucihVvJfMjLAmec39IyEx_6qawtMGysU/edit?usp=sharing"",""สบก!CC24"")"),53144)</f>
        <v>53144</v>
      </c>
      <c r="O254" s="168">
        <f ca="1">IF(L254&gt;0,N254*100/L254,0)</f>
        <v>59.7123595505618</v>
      </c>
      <c r="P254" s="168">
        <f ca="1">IF(M254&gt;0,N254*100/M254,0)</f>
        <v>111.8821052631579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IFERROR(__xludf.DUMMYFUNCTION("IMPORTRANGE(""https://docs.google.com/spreadsheets/d/11923uPwbBZFjjGgGUA6NLw09EwE0CqkOc4q9oUmW1yo/edit?usp=sharing"",""นครสวรรค์!J184"")"),0)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IFERROR(__xludf.DUMMYFUNCTION("IMPORTRANGE(""https://docs.google.com/spreadsheets/d/11923uPwbBZFjjGgGUA6NLw09EwE0CqkOc4q9oUmW1yo/edit?usp=sharing"",""นครสวรรค์!I185"")"),20)</f>
        <v>20</v>
      </c>
      <c r="J270" s="315">
        <f ca="1">IFERROR(__xludf.DUMMYFUNCTION("IMPORTRANGE(""https://docs.google.com/spreadsheets/d/11923uPwbBZFjjGgGUA6NLw09EwE0CqkOc4q9oUmW1yo/edit?usp=sharing"",""นครสวรรค์!J185"")"),20)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83928</v>
      </c>
      <c r="O271" s="151">
        <f t="shared" ref="O271:O273" ca="1" si="84">IF(L271&gt;0,N271*100/L271,0)</f>
        <v>45.712418300653596</v>
      </c>
      <c r="P271" s="151">
        <f t="shared" ref="P271:P273" ca="1" si="85">IF(M271&gt;0,N271*100/M271,0)</f>
        <v>51.935643564356432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83928</v>
      </c>
      <c r="O273" s="156">
        <f t="shared" ca="1" si="84"/>
        <v>45.712418300653596</v>
      </c>
      <c r="P273" s="156">
        <f t="shared" ca="1" si="85"/>
        <v>51.935643564356432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IFERROR(__xludf.DUMMYFUNCTION("IMPORTRANGE(""https://docs.google.com/spreadsheets/d/1Yj_ptqi66GCucihVvJfMjLAmec39IyEx_6qawtMGysU/edit?usp=sharing"",""สบก!CK24"")"),161600)</f>
        <v>161600</v>
      </c>
      <c r="N275" s="168">
        <f ca="1">IFERROR(__xludf.DUMMYFUNCTION("IMPORTRANGE(""https://docs.google.com/spreadsheets/d/1Yj_ptqi66GCucihVvJfMjLAmec39IyEx_6qawtMGysU/edit?usp=sharing"",""สบก!CL24"")"),83928)</f>
        <v>83928</v>
      </c>
      <c r="O275" s="168">
        <f ca="1">IF(L275&gt;0,N275*100/L275,0)</f>
        <v>45.712418300653596</v>
      </c>
      <c r="P275" s="168">
        <f ca="1">IF(M275&gt;0,N275*100/M275,0)</f>
        <v>51.935643564356432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IFERROR(__xludf.DUMMYFUNCTION("IMPORTRANGE(""https://docs.google.com/spreadsheets/d/11923uPwbBZFjjGgGUA6NLw09EwE0CqkOc4q9oUmW1yo/edit?usp=sharing"",""นครสวรรค์!I199"")"),0)</f>
        <v>0</v>
      </c>
      <c r="J289" s="315">
        <f ca="1">IFERROR(__xludf.DUMMYFUNCTION("IMPORTRANGE(""https://docs.google.com/spreadsheets/d/11923uPwbBZFjjGgGUA6NLw09EwE0CqkOc4q9oUmW1yo/edit?usp=sharing"",""นครสวรรค์!J199"")"),0)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IFERROR(__xludf.DUMMYFUNCTION("IMPORTRANGE(""https://docs.google.com/spreadsheets/d/11923uPwbBZFjjGgGUA6NLw09EwE0CqkOc4q9oUmW1yo/edit?usp=sharing"",""นครสวรรค์!J213"")"),0)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IFERROR(__xludf.DUMMYFUNCTION("IMPORTRANGE(""https://docs.google.com/spreadsheets/d/11923uPwbBZFjjGgGUA6NLw09EwE0CqkOc4q9oUmW1yo/edit?usp=sharing"",""นครสวรรค์!I214"")"),0)</f>
        <v>0</v>
      </c>
      <c r="J309" s="332">
        <f ca="1">IFERROR(__xludf.DUMMYFUNCTION("IMPORTRANGE(""https://docs.google.com/spreadsheets/d/11923uPwbBZFjjGgGUA6NLw09EwE0CqkOc4q9oUmW1yo/edit?usp=sharing"",""นครสวรรค์!J214"")"),0)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IFERROR(__xludf.DUMMYFUNCTION("IMPORTRANGE(""https://docs.google.com/spreadsheets/d/11923uPwbBZFjjGgGUA6NLw09EwE0CqkOc4q9oUmW1yo/edit?usp=sharing"",""นครสวรรค์!J226"")"),0)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IFERROR(__xludf.DUMMYFUNCTION("IMPORTRANGE(""https://docs.google.com/spreadsheets/d/11923uPwbBZFjjGgGUA6NLw09EwE0CqkOc4q9oUmW1yo/edit?usp=sharing"",""นครสวรรค์!I228"")"),430)</f>
        <v>430</v>
      </c>
      <c r="J328" s="338">
        <f ca="1">IFERROR(__xludf.DUMMYFUNCTION("IMPORTRANGE(""https://docs.google.com/spreadsheets/d/11923uPwbBZFjjGgGUA6NLw09EwE0CqkOc4q9oUmW1yo/edit?usp=sharing"",""นครสวรรค์!J228"")"),25)</f>
        <v>25</v>
      </c>
      <c r="K328" s="316">
        <f ca="1">IF(I328&gt;0,J328*100/I328,0)</f>
        <v>5.8139534883720927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1224950</v>
      </c>
      <c r="M329" s="152">
        <f t="shared" ca="1" si="98"/>
        <v>928180</v>
      </c>
      <c r="N329" s="152">
        <f t="shared" ca="1" si="98"/>
        <v>609214.69999999995</v>
      </c>
      <c r="O329" s="151">
        <f t="shared" ref="O329:O331" ca="1" si="99">IF(L329&gt;0,N329*100/L329,0)</f>
        <v>49.733842197640712</v>
      </c>
      <c r="P329" s="151">
        <f t="shared" ref="P329:P331" ca="1" si="100">IF(M329&gt;0,N329*100/M329,0)</f>
        <v>65.63540477062638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1224950</v>
      </c>
      <c r="M331" s="88">
        <f t="shared" ca="1" si="102"/>
        <v>928180</v>
      </c>
      <c r="N331" s="88">
        <f t="shared" ca="1" si="102"/>
        <v>609214.69999999995</v>
      </c>
      <c r="O331" s="156">
        <f t="shared" ca="1" si="99"/>
        <v>49.733842197640712</v>
      </c>
      <c r="P331" s="156">
        <f t="shared" ca="1" si="100"/>
        <v>65.63540477062638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1119950</v>
      </c>
      <c r="M333" s="167">
        <f ca="1">IFERROR(__xludf.DUMMYFUNCTION("IMPORTRANGE(""https://docs.google.com/spreadsheets/d/1Yj_ptqi66GCucihVvJfMjLAmec39IyEx_6qawtMGysU/edit?usp=sharing"",""สบก!DL24"")"),823180)</f>
        <v>823180</v>
      </c>
      <c r="N333" s="168">
        <f ca="1">IFERROR(__xludf.DUMMYFUNCTION("IMPORTRANGE(""https://docs.google.com/spreadsheets/d/1Yj_ptqi66GCucihVvJfMjLAmec39IyEx_6qawtMGysU/edit?usp=sharing"",""สบก!DM24"")"),504214.7)</f>
        <v>504214.7</v>
      </c>
      <c r="O333" s="168">
        <f ca="1">IF(L333&gt;0,N333*100/L333,0)</f>
        <v>45.021179516942723</v>
      </c>
      <c r="P333" s="168">
        <f ca="1">IF(M333&gt;0,N333*100/M333,0)</f>
        <v>61.252059087927307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IFERROR(__xludf.DUMMYFUNCTION("IMPORTRANGE(""https://docs.google.com/spreadsheets/d/1Yj_ptqi66GCucihVvJfMjLAmec39IyEx_6qawtMGysU/edit?usp=sharing"",""สบก!DI24"")"),590750)</f>
        <v>590750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IFERROR(__xludf.DUMMYFUNCTION("IMPORTRANGE(""https://docs.google.com/spreadsheets/d/1Yj_ptqi66GCucihVvJfMjLAmec39IyEx_6qawtMGysU/edit?usp=sharing"",""สบก!DJ24"")"),105000)</f>
        <v>105000</v>
      </c>
      <c r="M337" s="50">
        <f ca="1">L337</f>
        <v>105000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IFERROR(__xludf.DUMMYFUNCTION("IMPORTRANGE(""https://docs.google.com/spreadsheets/d/11923uPwbBZFjjGgGUA6NLw09EwE0CqkOc4q9oUmW1yo/edit?usp=sharing"",""นครสวรรค์!J234"")"),287)</f>
        <v>287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IFERROR(__xludf.DUMMYFUNCTION("IMPORTRANGE(""https://docs.google.com/spreadsheets/d/11923uPwbBZFjjGgGUA6NLw09EwE0CqkOc4q9oUmW1yo/edit?usp=sharing"",""นครสวรรค์!I235"")"),4200)</f>
        <v>4200</v>
      </c>
      <c r="J340" s="187">
        <f ca="1">IFERROR(__xludf.DUMMYFUNCTION("IMPORTRANGE(""https://docs.google.com/spreadsheets/d/11923uPwbBZFjjGgGUA6NLw09EwE0CqkOc4q9oUmW1yo/edit?usp=sharing"",""นครสวรรค์!J235"")"),2685.88)</f>
        <v>2685.88</v>
      </c>
      <c r="K340" s="341">
        <f t="shared" ca="1" si="103"/>
        <v>63.949523809523811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IFERROR(__xludf.DUMMYFUNCTION("IMPORTRANGE(""https://docs.google.com/spreadsheets/d/11923uPwbBZFjjGgGUA6NLw09EwE0CqkOc4q9oUmW1yo/edit?usp=sharing"",""นครสวรรค์!I236"")"),430)</f>
        <v>430</v>
      </c>
      <c r="J341" s="187">
        <f ca="1">IFERROR(__xludf.DUMMYFUNCTION("IMPORTRANGE(""https://docs.google.com/spreadsheets/d/11923uPwbBZFjjGgGUA6NLw09EwE0CqkOc4q9oUmW1yo/edit?usp=sharing"",""นครสวรรค์!J236"")"),77)</f>
        <v>77</v>
      </c>
      <c r="K341" s="341">
        <f t="shared" ca="1" si="103"/>
        <v>17.906976744186046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IFERROR(__xludf.DUMMYFUNCTION("IMPORTRANGE(""https://docs.google.com/spreadsheets/d/11923uPwbBZFjjGgGUA6NLw09EwE0CqkOc4q9oUmW1yo/edit?usp=sharing"",""นครสวรรค์!J237"")"),929.49)</f>
        <v>929.49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IFERROR(__xludf.DUMMYFUNCTION("IMPORTRANGE(""https://docs.google.com/spreadsheets/d/11923uPwbBZFjjGgGUA6NLw09EwE0CqkOc4q9oUmW1yo/edit?usp=sharing"",""นครสวรรค์!I238"")"),430)</f>
        <v>430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IFERROR(__xludf.DUMMYFUNCTION("IMPORTRANGE(""https://docs.google.com/spreadsheets/d/11923uPwbBZFjjGgGUA6NLw09EwE0CqkOc4q9oUmW1yo/edit?usp=sharing"",""นครสวรรค์!I240"")"),430)</f>
        <v>430</v>
      </c>
      <c r="J345" s="187">
        <f ca="1">IFERROR(__xludf.DUMMYFUNCTION("IMPORTRANGE(""https://docs.google.com/spreadsheets/d/11923uPwbBZFjjGgGUA6NLw09EwE0CqkOc4q9oUmW1yo/edit?usp=sharing"",""นครสวรรค์!J240"")"),25)</f>
        <v>25</v>
      </c>
      <c r="K345" s="341">
        <f t="shared" ca="1" si="103"/>
        <v>5.8139534883720927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IFERROR(__xludf.DUMMYFUNCTION("IMPORTRANGE(""https://docs.google.com/spreadsheets/d/11923uPwbBZFjjGgGUA6NLw09EwE0CqkOc4q9oUmW1yo/edit?usp=sharing"",""นครสวรรค์!J241"")"),485.88)</f>
        <v>485.88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IFERROR(__xludf.DUMMYFUNCTION("IMPORTRANGE(""https://docs.google.com/spreadsheets/d/11923uPwbBZFjjGgGUA6NLw09EwE0CqkOc4q9oUmW1yo/edit?usp=sharing"",""นครสวรรค์!L242"")"),2294313.44)</f>
        <v>2294313.44</v>
      </c>
      <c r="M347" s="357"/>
      <c r="N347" s="357">
        <f ca="1">IFERROR(__xludf.DUMMYFUNCTION("IMPORTRANGE(""https://docs.google.com/spreadsheets/d/11923uPwbBZFjjGgGUA6NLw09EwE0CqkOc4q9oUmW1yo/edit?usp=sharing"",""นครสวรรค์!M242"")"),676052)</f>
        <v>676052</v>
      </c>
      <c r="O347" s="357">
        <f ca="1">+IF(L347&gt;0,N347*100/L347,0)</f>
        <v>29.46641850295747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IFERROR(__xludf.DUMMYFUNCTION("IMPORTRANGE(""https://docs.google.com/spreadsheets/d/11923uPwbBZFjjGgGUA6NLw09EwE0CqkOc4q9oUmW1yo/edit?usp=sharing"",""นครสวรรค์!J244"")"),40)</f>
        <v>40</v>
      </c>
      <c r="K349" s="371">
        <f t="shared" ref="K349:K350" ca="1" si="104">IF(I349&gt;0,J349*100/I349,0)</f>
        <v>36.363636363636367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IFERROR(__xludf.DUMMYFUNCTION("IMPORTRANGE(""https://docs.google.com/spreadsheets/d/11923uPwbBZFjjGgGUA6NLw09EwE0CqkOc4q9oUmW1yo/edit?usp=sharing"",""นครสวรรค์!M244"")"),167018)</f>
        <v>167018</v>
      </c>
      <c r="O349" s="372">
        <f ca="1">+IF(L349&gt;0,N349*100/L349,0)</f>
        <v>47.176228003276556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IFERROR(__xludf.DUMMYFUNCTION("IMPORTRANGE(""https://docs.google.com/spreadsheets/d/11923uPwbBZFjjGgGUA6NLw09EwE0CqkOc4q9oUmW1yo/edit?usp=sharing"",""นครสวรรค์!M247"")"),167018)</f>
        <v>167018</v>
      </c>
      <c r="O352" s="165">
        <f t="shared" ca="1" si="105"/>
        <v>47.176228003276556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IFERROR(__xludf.DUMMYFUNCTION("IMPORTRANGE(""https://docs.google.com/spreadsheets/d/11923uPwbBZFjjGgGUA6NLw09EwE0CqkOc4q9oUmW1yo/edit?usp=sharing"",""นครสวรรค์!M249"")"),167018)</f>
        <v>167018</v>
      </c>
      <c r="O354" s="168">
        <f t="shared" ca="1" si="105"/>
        <v>47.176228003276556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IFERROR(__xludf.DUMMYFUNCTION("IMPORTRANGE(""https://docs.google.com/spreadsheets/d/11923uPwbBZFjjGgGUA6NLw09EwE0CqkOc4q9oUmW1yo/edit?usp=sharing"",""นครสวรรค์!M251"")"),35400)</f>
        <v>35400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IFERROR(__xludf.DUMMYFUNCTION("IMPORTRANGE(""https://docs.google.com/spreadsheets/d/11923uPwbBZFjjGgGUA6NLw09EwE0CqkOc4q9oUmW1yo/edit?usp=sharing"",""นครสวรรค์!M252"")"),54633)</f>
        <v>54633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IFERROR(__xludf.DUMMYFUNCTION("IMPORTRANGE(""https://docs.google.com/spreadsheets/d/11923uPwbBZFjjGgGUA6NLw09EwE0CqkOc4q9oUmW1yo/edit?usp=sharing"",""นครสวรรค์!M253"")"),9485)</f>
        <v>9485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IFERROR(__xludf.DUMMYFUNCTION("IMPORTRANGE(""https://docs.google.com/spreadsheets/d/11923uPwbBZFjjGgGUA6NLw09EwE0CqkOc4q9oUmW1yo/edit?usp=sharing"",""นครสวรรค์!J270"")"),40)</f>
        <v>40</v>
      </c>
      <c r="K375" s="163">
        <f t="shared" ref="K375:K377" ca="1" si="107">IF(I375&gt;0,J375*100/I375,0)</f>
        <v>36.363636363636367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IFERROR(__xludf.DUMMYFUNCTION("IMPORTRANGE(""https://docs.google.com/spreadsheets/d/11923uPwbBZFjjGgGUA6NLw09EwE0CqkOc4q9oUmW1yo/edit?usp=sharing"",""นครสวรรค์!M275"")"),125403)</f>
        <v>125403</v>
      </c>
      <c r="O380" s="372">
        <f ca="1">+IF(L380&gt;0,N380*100/L380,0)</f>
        <v>12.19256796173142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IFERROR(__xludf.DUMMYFUNCTION("IMPORTRANGE(""https://docs.google.com/spreadsheets/d/11923uPwbBZFjjGgGUA6NLw09EwE0CqkOc4q9oUmW1yo/edit?usp=sharing"",""นครสวรรค์!M278"")"),125403)</f>
        <v>125403</v>
      </c>
      <c r="O383" s="165">
        <f t="shared" ca="1" si="109"/>
        <v>12.19256796173142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IFERROR(__xludf.DUMMYFUNCTION("IMPORTRANGE(""https://docs.google.com/spreadsheets/d/11923uPwbBZFjjGgGUA6NLw09EwE0CqkOc4q9oUmW1yo/edit?usp=sharing"",""นครสวรรค์!M280"")"),125403)</f>
        <v>125403</v>
      </c>
      <c r="O385" s="168">
        <f t="shared" ca="1" si="109"/>
        <v>12.19256796173142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IFERROR(__xludf.DUMMYFUNCTION("IMPORTRANGE(""https://docs.google.com/spreadsheets/d/11923uPwbBZFjjGgGUA6NLw09EwE0CqkOc4q9oUmW1yo/edit?usp=sharing"",""นครสวรรค์!M281"")"),72540)</f>
        <v>72540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IFERROR(__xludf.DUMMYFUNCTION("IMPORTRANGE(""https://docs.google.com/spreadsheets/d/11923uPwbBZFjjGgGUA6NLw09EwE0CqkOc4q9oUmW1yo/edit?usp=sharing"",""นครสวรรค์!M283"")"),50963)</f>
        <v>50963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IFERROR(__xludf.DUMMYFUNCTION("IMPORTRANGE(""https://docs.google.com/spreadsheets/d/11923uPwbBZFjjGgGUA6NLw09EwE0CqkOc4q9oUmW1yo/edit?usp=sharing"",""นครสวรรค์!M284"")"),1900)</f>
        <v>1900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IFERROR(__xludf.DUMMYFUNCTION("IMPORTRANGE(""https://docs.google.com/spreadsheets/d/11923uPwbBZFjjGgGUA6NLw09EwE0CqkOc4q9oUmW1yo/edit?usp=sharing"",""นครสวรรค์!M296"")"),132250)</f>
        <v>132250</v>
      </c>
      <c r="O401" s="372">
        <f ca="1">+IF(L401&gt;0,N401*100/L401,0)</f>
        <v>82.682088152547678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IFERROR(__xludf.DUMMYFUNCTION("IMPORTRANGE(""https://docs.google.com/spreadsheets/d/11923uPwbBZFjjGgGUA6NLw09EwE0CqkOc4q9oUmW1yo/edit?usp=sharing"",""นครสวรรค์!M299"")"),132250)</f>
        <v>132250</v>
      </c>
      <c r="O404" s="168">
        <f t="shared" ca="1" si="112"/>
        <v>82.682088152547678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IFERROR(__xludf.DUMMYFUNCTION("IMPORTRANGE(""https://docs.google.com/spreadsheets/d/11923uPwbBZFjjGgGUA6NLw09EwE0CqkOc4q9oUmW1yo/edit?usp=sharing"",""นครสวรรค์!M301"")"),132250)</f>
        <v>132250</v>
      </c>
      <c r="O406" s="168">
        <f t="shared" ca="1" si="112"/>
        <v>82.682088152547678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IFERROR(__xludf.DUMMYFUNCTION("IMPORTRANGE(""https://docs.google.com/spreadsheets/d/11923uPwbBZFjjGgGUA6NLw09EwE0CqkOc4q9oUmW1yo/edit?usp=sharing"",""นครสวรรค์!M305"")"),2200)</f>
        <v>2200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IFERROR(__xludf.DUMMYFUNCTION("IMPORTRANGE(""https://docs.google.com/spreadsheets/d/11923uPwbBZFjjGgGUA6NLw09EwE0CqkOc4q9oUmW1yo/edit?usp=sharing"",""นครสวรรค์!M330"")"),68902)</f>
        <v>68902</v>
      </c>
      <c r="O435" s="411">
        <f t="shared" ref="O435:O439" ca="1" si="114">+IF(L435&gt;0,N435*100/L435,0)</f>
        <v>65.001886792452837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IFERROR(__xludf.DUMMYFUNCTION("IMPORTRANGE(""https://docs.google.com/spreadsheets/d/11923uPwbBZFjjGgGUA6NLw09EwE0CqkOc4q9oUmW1yo/edit?usp=sharing"",""นครสวรรค์!M332"")"),68902)</f>
        <v>68902</v>
      </c>
      <c r="O437" s="168">
        <f t="shared" ca="1" si="114"/>
        <v>65.001886792452837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IFERROR(__xludf.DUMMYFUNCTION("IMPORTRANGE(""https://docs.google.com/spreadsheets/d/11923uPwbBZFjjGgGUA6NLw09EwE0CqkOc4q9oUmW1yo/edit?usp=sharing"",""นครสวรรค์!M334"")"),68902)</f>
        <v>68902</v>
      </c>
      <c r="O439" s="168">
        <f t="shared" ca="1" si="114"/>
        <v>65.001886792452837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IFERROR(__xludf.DUMMYFUNCTION("IMPORTRANGE(""https://docs.google.com/spreadsheets/d/11923uPwbBZFjjGgGUA6NLw09EwE0CqkOc4q9oUmW1yo/edit?usp=sharing"",""นครสวรรค์!M338"")"),41780)</f>
        <v>41780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IFERROR(__xludf.DUMMYFUNCTION("IMPORTRANGE(""https://docs.google.com/spreadsheets/d/11923uPwbBZFjjGgGUA6NLw09EwE0CqkOc4q9oUmW1yo/edit?usp=sharing"",""นครสวรรค์!L350"")"),465963.44)</f>
        <v>465963.44</v>
      </c>
      <c r="M455" s="372"/>
      <c r="N455" s="372">
        <f ca="1">IFERROR(__xludf.DUMMYFUNCTION("IMPORTRANGE(""https://docs.google.com/spreadsheets/d/11923uPwbBZFjjGgGUA6NLw09EwE0CqkOc4q9oUmW1yo/edit?usp=sharing"",""นครสวรรค์!M350"")"),85667)</f>
        <v>85667</v>
      </c>
      <c r="O455" s="372">
        <f t="shared" ref="O455:O459" ca="1" si="116">+IF(L455&gt;0,N455*100/L455,0)</f>
        <v>18.384918782469285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IFERROR(__xludf.DUMMYFUNCTION("IMPORTRANGE(""https://docs.google.com/spreadsheets/d/11923uPwbBZFjjGgGUA6NLw09EwE0CqkOc4q9oUmW1yo/edit?usp=sharing"",""นครสวรรค์!L352"")"),465963.44)</f>
        <v>465963.44</v>
      </c>
      <c r="M457" s="165"/>
      <c r="N457" s="168">
        <f ca="1">IFERROR(__xludf.DUMMYFUNCTION("IMPORTRANGE(""https://docs.google.com/spreadsheets/d/11923uPwbBZFjjGgGUA6NLw09EwE0CqkOc4q9oUmW1yo/edit?usp=sharing"",""นครสวรรค์!M352"")"),85667)</f>
        <v>85667</v>
      </c>
      <c r="O457" s="168">
        <f t="shared" ca="1" si="116"/>
        <v>18.384918782469285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IFERROR(__xludf.DUMMYFUNCTION("IMPORTRANGE(""https://docs.google.com/spreadsheets/d/11923uPwbBZFjjGgGUA6NLw09EwE0CqkOc4q9oUmW1yo/edit?usp=sharing"",""นครสวรรค์!L354"")"),465963.44)</f>
        <v>465963.44</v>
      </c>
      <c r="M459" s="168"/>
      <c r="N459" s="168">
        <f ca="1">IFERROR(__xludf.DUMMYFUNCTION("IMPORTRANGE(""https://docs.google.com/spreadsheets/d/11923uPwbBZFjjGgGUA6NLw09EwE0CqkOc4q9oUmW1yo/edit?usp=sharing"",""นครสวรรค์!M354"")"),85667)</f>
        <v>85667</v>
      </c>
      <c r="O459" s="168">
        <f t="shared" ca="1" si="116"/>
        <v>18.384918782469285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IFERROR(__xludf.DUMMYFUNCTION("IMPORTRANGE(""https://docs.google.com/spreadsheets/d/11923uPwbBZFjjGgGUA6NLw09EwE0CqkOc4q9oUmW1yo/edit?usp=sharing"",""นครสวรรค์!M358"")"),85667)</f>
        <v>85667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IFERROR(__xludf.DUMMYFUNCTION("IMPORTRANGE(""https://docs.google.com/spreadsheets/d/11923uPwbBZFjjGgGUA6NLw09EwE0CqkOc4q9oUmW1yo/edit?usp=sharing"",""นครสวรรค์!I359"")"),45976)</f>
        <v>45976</v>
      </c>
      <c r="J464" s="266">
        <f ca="1">IFERROR(__xludf.DUMMYFUNCTION("IMPORTRANGE(""https://docs.google.com/spreadsheets/d/11923uPwbBZFjjGgGUA6NLw09EwE0CqkOc4q9oUmW1yo/edit?usp=sharing"",""นครสวรรค์!J359"")"),0)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IFERROR(__xludf.DUMMYFUNCTION("IMPORTRANGE(""https://docs.google.com/spreadsheets/d/11923uPwbBZFjjGgGUA6NLw09EwE0CqkOc4q9oUmW1yo/edit?usp=sharing"",""นครสวรรค์!J368"")"),45976.97)</f>
        <v>45976.97</v>
      </c>
      <c r="K473" s="201">
        <f t="shared" ca="1" si="117"/>
        <v>100.00210979641552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IFERROR(__xludf.DUMMYFUNCTION("IMPORTRANGE(""https://docs.google.com/spreadsheets/d/11923uPwbBZFjjGgGUA6NLw09EwE0CqkOc4q9oUmW1yo/edit?usp=sharing"",""นครสวรรค์!J372"")"),7556.46)</f>
        <v>7556.46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IFERROR(__xludf.DUMMYFUNCTION("IMPORTRANGE(""https://docs.google.com/spreadsheets/d/11923uPwbBZFjjGgGUA6NLw09EwE0CqkOc4q9oUmW1yo/edit?usp=sharing"",""นครสวรรค์!I411"")"),0)</f>
        <v>0</v>
      </c>
      <c r="J516" s="266">
        <f ca="1">IFERROR(__xludf.DUMMYFUNCTION("IMPORTRANGE(""https://docs.google.com/spreadsheets/d/11923uPwbBZFjjGgGUA6NLw09EwE0CqkOc4q9oUmW1yo/edit?usp=sharing"",""นครสวรรค์!J411"")"),0)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IFERROR(__xludf.DUMMYFUNCTION("IMPORTRANGE(""https://docs.google.com/spreadsheets/d/11923uPwbBZFjjGgGUA6NLw09EwE0CqkOc4q9oUmW1yo/edit?usp=sharing"",""นครสวรรค์!I412"")"),0)</f>
        <v>0</v>
      </c>
      <c r="J517" s="283">
        <f ca="1">IFERROR(__xludf.DUMMYFUNCTION("IMPORTRANGE(""https://docs.google.com/spreadsheets/d/11923uPwbBZFjjGgGUA6NLw09EwE0CqkOc4q9oUmW1yo/edit?usp=sharing"",""นครสวรรค์!J412"")"),0)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IFERROR(__xludf.DUMMYFUNCTION("IMPORTRANGE(""https://docs.google.com/spreadsheets/d/11923uPwbBZFjjGgGUA6NLw09EwE0CqkOc4q9oUmW1yo/edit?usp=sharing"",""นครสวรรค์!I413"")"),0)</f>
        <v>0</v>
      </c>
      <c r="J518" s="283">
        <f ca="1">IFERROR(__xludf.DUMMYFUNCTION("IMPORTRANGE(""https://docs.google.com/spreadsheets/d/11923uPwbBZFjjGgGUA6NLw09EwE0CqkOc4q9oUmW1yo/edit?usp=sharing"",""นครสวรรค์!J413"")"),0)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IFERROR(__xludf.DUMMYFUNCTION("IMPORTRANGE(""https://docs.google.com/spreadsheets/d/11923uPwbBZFjjGgGUA6NLw09EwE0CqkOc4q9oUmW1yo/edit?usp=sharing"",""นครสวรรค์!I420"")"),0)</f>
        <v>0</v>
      </c>
      <c r="J525" s="283">
        <f ca="1">IFERROR(__xludf.DUMMYFUNCTION("IMPORTRANGE(""https://docs.google.com/spreadsheets/d/11923uPwbBZFjjGgGUA6NLw09EwE0CqkOc4q9oUmW1yo/edit?usp=sharing"",""นครสวรรค์!J420"")"),0)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IFERROR(__xludf.DUMMYFUNCTION("IMPORTRANGE(""https://docs.google.com/spreadsheets/d/11923uPwbBZFjjGgGUA6NLw09EwE0CqkOc4q9oUmW1yo/edit?usp=sharing"",""นครสวรรค์!I421"")"),0)</f>
        <v>0</v>
      </c>
      <c r="J526" s="283">
        <f ca="1">IFERROR(__xludf.DUMMYFUNCTION("IMPORTRANGE(""https://docs.google.com/spreadsheets/d/11923uPwbBZFjjGgGUA6NLw09EwE0CqkOc4q9oUmW1yo/edit?usp=sharing"",""นครสวรรค์!J421"")"),0)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IFERROR(__xludf.DUMMYFUNCTION("IMPORTRANGE(""https://docs.google.com/spreadsheets/d/11923uPwbBZFjjGgGUA6NLw09EwE0CqkOc4q9oUmW1yo/edit?usp=sharing"",""นครสวรรค์!M428"")"),20765)</f>
        <v>20765</v>
      </c>
      <c r="O533" s="411">
        <f t="shared" ref="O533:O537" ca="1" si="118">+IF(L533&gt;0,N533*100/L533,0)</f>
        <v>60.468841001747236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IFERROR(__xludf.DUMMYFUNCTION("IMPORTRANGE(""https://docs.google.com/spreadsheets/d/11923uPwbBZFjjGgGUA6NLw09EwE0CqkOc4q9oUmW1yo/edit?usp=sharing"",""นครสวรรค์!M430"")"),20765)</f>
        <v>20765</v>
      </c>
      <c r="O535" s="168">
        <f t="shared" ca="1" si="118"/>
        <v>60.468841001747236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IFERROR(__xludf.DUMMYFUNCTION("IMPORTRANGE(""https://docs.google.com/spreadsheets/d/11923uPwbBZFjjGgGUA6NLw09EwE0CqkOc4q9oUmW1yo/edit?usp=sharing"",""นครสวรรค์!M432"")"),20765)</f>
        <v>20765</v>
      </c>
      <c r="O537" s="168">
        <f t="shared" ca="1" si="118"/>
        <v>60.468841001747236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IFERROR(__xludf.DUMMYFUNCTION("IMPORTRANGE(""https://docs.google.com/spreadsheets/d/11923uPwbBZFjjGgGUA6NLw09EwE0CqkOc4q9oUmW1yo/edit?usp=sharing"",""นครสวรรค์!M436"")"),2025)</f>
        <v>2025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IFERROR(__xludf.DUMMYFUNCTION("IMPORTRANGE(""https://docs.google.com/spreadsheets/d/11923uPwbBZFjjGgGUA6NLw09EwE0CqkOc4q9oUmW1yo/edit?usp=sharing"",""นครสวรรค์!J459"")"),1656)</f>
        <v>1656</v>
      </c>
      <c r="K564" s="371">
        <f ca="1">IF(I564&gt;0,J564*100/I564,0)</f>
        <v>60.218181818181819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IFERROR(__xludf.DUMMYFUNCTION("IMPORTRANGE(""https://docs.google.com/spreadsheets/d/11923uPwbBZFjjGgGUA6NLw09EwE0CqkOc4q9oUmW1yo/edit?usp=sharing"",""นครสวรรค์!M459"")"),75247)</f>
        <v>75247</v>
      </c>
      <c r="O564" s="372">
        <f t="shared" ref="O564:O568" ca="1" si="122">+IF(L564&gt;0,N564*100/L564,0)</f>
        <v>53.686501141552512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IFERROR(__xludf.DUMMYFUNCTION("IMPORTRANGE(""https://docs.google.com/spreadsheets/d/11923uPwbBZFjjGgGUA6NLw09EwE0CqkOc4q9oUmW1yo/edit?usp=sharing"",""นครสวรรค์!M461"")"),75247)</f>
        <v>75247</v>
      </c>
      <c r="O566" s="168">
        <f t="shared" ca="1" si="122"/>
        <v>53.686501141552512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IFERROR(__xludf.DUMMYFUNCTION("IMPORTRANGE(""https://docs.google.com/spreadsheets/d/11923uPwbBZFjjGgGUA6NLw09EwE0CqkOc4q9oUmW1yo/edit?usp=sharing"",""นครสวรรค์!M463"")"),75247)</f>
        <v>75247</v>
      </c>
      <c r="O568" s="168">
        <f t="shared" ca="1" si="122"/>
        <v>53.686501141552512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IFERROR(__xludf.DUMMYFUNCTION("IMPORTRANGE(""https://docs.google.com/spreadsheets/d/11923uPwbBZFjjGgGUA6NLw09EwE0CqkOc4q9oUmW1yo/edit?usp=sharing"",""นครสวรรค์!M466"")"),52798)</f>
        <v>52798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IFERROR(__xludf.DUMMYFUNCTION("IMPORTRANGE(""https://docs.google.com/spreadsheets/d/11923uPwbBZFjjGgGUA6NLw09EwE0CqkOc4q9oUmW1yo/edit?usp=sharing"",""นครสวรรค์!M467"")"),22449)</f>
        <v>22449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IFERROR(__xludf.DUMMYFUNCTION("IMPORTRANGE(""https://docs.google.com/spreadsheets/d/11923uPwbBZFjjGgGUA6NLw09EwE0CqkOc4q9oUmW1yo/edit?usp=sharing"",""นครสวรรค์!J468"")"),1656)</f>
        <v>1656</v>
      </c>
      <c r="K573" s="201">
        <f ca="1">IF(I573&gt;0,J573*100/I573,0)</f>
        <v>60.218181818181819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IFERROR(__xludf.DUMMYFUNCTION("IMPORTRANGE(""https://docs.google.com/spreadsheets/d/11923uPwbBZFjjGgGUA6NLw09EwE0CqkOc4q9oUmW1yo/edit?usp=sharing"",""นครสวรรค์!J471"")"),316)</f>
        <v>316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IFERROR(__xludf.DUMMYFUNCTION("IMPORTRANGE(""https://docs.google.com/spreadsheets/d/11923uPwbBZFjjGgGUA6NLw09EwE0CqkOc4q9oUmW1yo/edit?usp=sharing"",""นครสวรรค์!J472"")"),1332)</f>
        <v>1332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IFERROR(__xludf.DUMMYFUNCTION("IMPORTRANGE(""https://docs.google.com/spreadsheets/d/11923uPwbBZFjjGgGUA6NLw09EwE0CqkOc4q9oUmW1yo/edit?usp=sharing"",""นครสวรรค์!J473"")"),8)</f>
        <v>8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IFERROR(__xludf.DUMMYFUNCTION("IMPORTRANGE(""https://docs.google.com/spreadsheets/d/11923uPwbBZFjjGgGUA6NLw09EwE0CqkOc4q9oUmW1yo/edit?usp=sharing"",""นครสวรรค์!I491"")"),0)</f>
        <v>0</v>
      </c>
      <c r="J596" s="240">
        <f ca="1">IFERROR(__xludf.DUMMYFUNCTION("IMPORTRANGE(""https://docs.google.com/spreadsheets/d/11923uPwbBZFjjGgGUA6NLw09EwE0CqkOc4q9oUmW1yo/edit?usp=sharing"",""นครสวรรค์!J491"")"),0)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7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IFERROR(__xludf.DUMMYFUNCTION("IMPORTRANGE(""https://docs.google.com/spreadsheets/d/11923uPwbBZFjjGgGUA6NLw09EwE0CqkOc4q9oUmW1yo/edit?usp=sharing"",""นครสวรรค์!L492"")"),5350)</f>
        <v>5350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14.953271028037383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IFERROR(__xludf.DUMMYFUNCTION("IMPORTRANGE(""https://docs.google.com/spreadsheets/d/11923uPwbBZFjjGgGUA6NLw09EwE0CqkOc4q9oUmW1yo/edit?usp=sharing"",""นครสวรรค์!I523"")"),1200000)</f>
        <v>1200000</v>
      </c>
      <c r="J628" s="340">
        <f ca="1">IFERROR(__xludf.DUMMYFUNCTION("IMPORTRANGE(""https://docs.google.com/spreadsheets/d/11923uPwbBZFjjGgGUA6NLw09EwE0CqkOc4q9oUmW1yo/edit?usp=sharing"",""นครสวรรค์!J523"")"),480000)</f>
        <v>480000</v>
      </c>
      <c r="K628" s="341">
        <f t="shared" ref="K628:K635" ca="1" si="129">IF(I628&gt;0,J628*100/I628,0)</f>
        <v>40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IFERROR(__xludf.DUMMYFUNCTION("IMPORTRANGE(""https://docs.google.com/spreadsheets/d/11923uPwbBZFjjGgGUA6NLw09EwE0CqkOc4q9oUmW1yo/edit?usp=sharing"",""นครสวรรค์!I524"")"),60)</f>
        <v>60</v>
      </c>
      <c r="J629" s="340">
        <f ca="1">IFERROR(__xludf.DUMMYFUNCTION("IMPORTRANGE(""https://docs.google.com/spreadsheets/d/11923uPwbBZFjjGgGUA6NLw09EwE0CqkOc4q9oUmW1yo/edit?usp=sharing"",""นครสวรรค์!J524"")"),24)</f>
        <v>24</v>
      </c>
      <c r="K629" s="341">
        <f t="shared" ca="1" si="129"/>
        <v>40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0">
        <f ca="1">IFERROR(__xludf.DUMMYFUNCTION("IMPORTRANGE(""https://docs.google.com/spreadsheets/d/11923uPwbBZFjjGgGUA6NLw09EwE0CqkOc4q9oUmW1yo/edit?usp=sharing"",""นครสวรรค์!J525"")"),540885.67)</f>
        <v>540885.67000000004</v>
      </c>
      <c r="K630" s="341">
        <f t="shared" ca="1" si="129"/>
        <v>10.84931852810559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IFERROR(__xludf.DUMMYFUNCTION("IMPORTRANGE(""https://docs.google.com/spreadsheets/d/11923uPwbBZFjjGgGUA6NLw09EwE0CqkOc4q9oUmW1yo/edit?usp=sharing"",""นครสวรรค์!I526"")"),266)</f>
        <v>266</v>
      </c>
      <c r="J631" s="340">
        <f ca="1">IFERROR(__xludf.DUMMYFUNCTION("IMPORTRANGE(""https://docs.google.com/spreadsheets/d/11923uPwbBZFjjGgGUA6NLw09EwE0CqkOc4q9oUmW1yo/edit?usp=sharing"",""นครสวรรค์!J526"")"),198)</f>
        <v>198</v>
      </c>
      <c r="K631" s="341">
        <f t="shared" ca="1" si="129"/>
        <v>74.436090225563916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0">
        <f ca="1">IFERROR(__xludf.DUMMYFUNCTION("IMPORTRANGE(""https://docs.google.com/spreadsheets/d/11923uPwbBZFjjGgGUA6NLw09EwE0CqkOc4q9oUmW1yo/edit?usp=sharing"",""นครสวรรค์!J527"")"),10241436.04)</f>
        <v>10241436.039999999</v>
      </c>
      <c r="K632" s="341">
        <f t="shared" ca="1" si="129"/>
        <v>19.931805312094369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IFERROR(__xludf.DUMMYFUNCTION("IMPORTRANGE(""https://docs.google.com/spreadsheets/d/11923uPwbBZFjjGgGUA6NLw09EwE0CqkOc4q9oUmW1yo/edit?usp=sharing"",""นครสวรรค์!I528"")"),4298)</f>
        <v>4298</v>
      </c>
      <c r="J633" s="340">
        <f ca="1">IFERROR(__xludf.DUMMYFUNCTION("IMPORTRANGE(""https://docs.google.com/spreadsheets/d/11923uPwbBZFjjGgGUA6NLw09EwE0CqkOc4q9oUmW1yo/edit?usp=sharing"",""นครสวรรค์!J528"")"),1361)</f>
        <v>1361</v>
      </c>
      <c r="K633" s="341">
        <f t="shared" ca="1" si="129"/>
        <v>31.665891112145182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IFERROR(__xludf.DUMMYFUNCTION("IMPORTRANGE(""https://docs.google.com/spreadsheets/d/11923uPwbBZFjjGgGUA6NLw09EwE0CqkOc4q9oUmW1yo/edit?usp=sharing"",""นครสวรรค์!I529"")"),1260000)</f>
        <v>1260000</v>
      </c>
      <c r="J634" s="340">
        <f ca="1">IFERROR(__xludf.DUMMYFUNCTION("IMPORTRANGE(""https://docs.google.com/spreadsheets/d/11923uPwbBZFjjGgGUA6NLw09EwE0CqkOc4q9oUmW1yo/edit?usp=sharing"",""นครสวรรค์!J529"")"),0)</f>
        <v>0</v>
      </c>
      <c r="K634" s="341">
        <f t="shared" ca="1" si="129"/>
        <v>0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IFERROR(__xludf.DUMMYFUNCTION("IMPORTRANGE(""https://docs.google.com/spreadsheets/d/11923uPwbBZFjjGgGUA6NLw09EwE0CqkOc4q9oUmW1yo/edit?usp=sharing"",""นครสวรรค์!I530"")"),63)</f>
        <v>63</v>
      </c>
      <c r="J635" s="504">
        <f ca="1">IFERROR(__xludf.DUMMYFUNCTION("IMPORTRANGE(""https://docs.google.com/spreadsheets/d/11923uPwbBZFjjGgGUA6NLw09EwE0CqkOc4q9oUmW1yo/edit?usp=sharing"",""นครสวรรค์!J530"")"),0)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G566" sqref="G56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3" width="19.36328125" bestFit="1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248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13697569.41</v>
      </c>
      <c r="M8" s="23">
        <f t="shared" ca="1" si="0"/>
        <v>10272339</v>
      </c>
      <c r="N8" s="23">
        <f t="shared" ca="1" si="0"/>
        <v>3070832.04</v>
      </c>
      <c r="O8" s="22">
        <f t="shared" ref="O8:O16" ca="1" si="1">IF(L8&gt;0,N8*100/L8,0)</f>
        <v>22.418809849272375</v>
      </c>
      <c r="P8" s="22">
        <f t="shared" ref="P8:P16" ca="1" si="2">IF(M8&gt;0,N8*100/M8,0)</f>
        <v>29.894185151015751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13697569.41</v>
      </c>
      <c r="M10" s="30">
        <f t="shared" ca="1" si="4"/>
        <v>10272339</v>
      </c>
      <c r="N10" s="30">
        <f t="shared" ca="1" si="4"/>
        <v>3070832.04</v>
      </c>
      <c r="O10" s="29">
        <f t="shared" ca="1" si="1"/>
        <v>22.418809849272375</v>
      </c>
      <c r="P10" s="29">
        <f t="shared" ca="1" si="2"/>
        <v>29.894185151015751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6406969.4100000001</v>
      </c>
      <c r="M12" s="39">
        <f t="shared" ca="1" si="6"/>
        <v>2981739</v>
      </c>
      <c r="N12" s="39">
        <f t="shared" ca="1" si="6"/>
        <v>2580232.04</v>
      </c>
      <c r="O12" s="39">
        <f t="shared" ca="1" si="1"/>
        <v>40.272270318206495</v>
      </c>
      <c r="P12" s="39">
        <f t="shared" ca="1" si="2"/>
        <v>86.534469985468206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1874000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4532969.41</v>
      </c>
      <c r="M14" s="39">
        <f t="shared" si="8"/>
        <v>0</v>
      </c>
      <c r="N14" s="39">
        <f t="shared" ca="1" si="8"/>
        <v>689847</v>
      </c>
      <c r="O14" s="39">
        <f t="shared" ca="1" si="1"/>
        <v>15.218434928728097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7290600</v>
      </c>
      <c r="M16" s="39">
        <f t="shared" ca="1" si="10"/>
        <v>7290600</v>
      </c>
      <c r="N16" s="39">
        <f t="shared" ca="1" si="10"/>
        <v>490600</v>
      </c>
      <c r="O16" s="50">
        <f t="shared" ca="1" si="1"/>
        <v>6.729212959152882</v>
      </c>
      <c r="P16" s="50">
        <f t="shared" ca="1" si="2"/>
        <v>6.729212959152882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10918675</v>
      </c>
      <c r="M18" s="23">
        <f t="shared" ca="1" si="11"/>
        <v>10272339</v>
      </c>
      <c r="N18" s="23">
        <f t="shared" ca="1" si="11"/>
        <v>2380985.04</v>
      </c>
      <c r="O18" s="22">
        <f t="shared" ref="O18:O20" ca="1" si="12">IF(L18&gt;0,N18*100/L18,0)</f>
        <v>21.806538247543774</v>
      </c>
      <c r="P18" s="22">
        <f t="shared" ref="P18:P26" ca="1" si="13">IF(M18&gt;0,N18*100/M18,0)</f>
        <v>23.178606547155425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10918675</v>
      </c>
      <c r="M20" s="30">
        <f t="shared" ca="1" si="15"/>
        <v>10272339</v>
      </c>
      <c r="N20" s="30">
        <f t="shared" ca="1" si="15"/>
        <v>2380985.04</v>
      </c>
      <c r="O20" s="29">
        <f t="shared" ca="1" si="12"/>
        <v>21.806538247543774</v>
      </c>
      <c r="P20" s="29">
        <f t="shared" ca="1" si="13"/>
        <v>23.178606547155425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3628075</v>
      </c>
      <c r="M22" s="42">
        <f t="shared" ca="1" si="18"/>
        <v>2981739</v>
      </c>
      <c r="N22" s="39">
        <f t="shared" ca="1" si="18"/>
        <v>1890385.04</v>
      </c>
      <c r="O22" s="39">
        <f t="shared" ca="1" si="17"/>
        <v>52.104353961811704</v>
      </c>
      <c r="P22" s="39">
        <f t="shared" ca="1" si="13"/>
        <v>63.398742814176558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1874000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1754075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7290600</v>
      </c>
      <c r="M26" s="50">
        <f t="shared" ca="1" si="22"/>
        <v>7290600</v>
      </c>
      <c r="N26" s="50">
        <f t="shared" ca="1" si="22"/>
        <v>490600</v>
      </c>
      <c r="O26" s="50">
        <f t="shared" ca="1" si="17"/>
        <v>6.729212959152882</v>
      </c>
      <c r="P26" s="50">
        <f t="shared" ca="1" si="13"/>
        <v>6.729212959152882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2778894.41</v>
      </c>
      <c r="M28" s="23">
        <f t="shared" si="23"/>
        <v>0</v>
      </c>
      <c r="N28" s="23">
        <f t="shared" ca="1" si="23"/>
        <v>689847</v>
      </c>
      <c r="O28" s="22">
        <f t="shared" ref="O28:O30" ca="1" si="24">IF(L28&gt;0,N28*100/L28,0)</f>
        <v>24.824512853656788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2778894.41</v>
      </c>
      <c r="M30" s="30">
        <f t="shared" si="27"/>
        <v>0</v>
      </c>
      <c r="N30" s="30">
        <f t="shared" ca="1" si="27"/>
        <v>689847</v>
      </c>
      <c r="O30" s="29">
        <f t="shared" ca="1" si="24"/>
        <v>24.824512853656788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2778894.41</v>
      </c>
      <c r="M32" s="39">
        <f t="shared" si="30"/>
        <v>0</v>
      </c>
      <c r="N32" s="39">
        <f t="shared" ca="1" si="30"/>
        <v>689847</v>
      </c>
      <c r="O32" s="39">
        <f t="shared" ca="1" si="29"/>
        <v>24.824512853656788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2778894.41</v>
      </c>
      <c r="M34" s="39">
        <f t="shared" si="32"/>
        <v>0</v>
      </c>
      <c r="N34" s="39">
        <f t="shared" ca="1" si="32"/>
        <v>689847</v>
      </c>
      <c r="O34" s="39">
        <f t="shared" ca="1" si="29"/>
        <v>24.824512853656788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10918675</v>
      </c>
      <c r="M37" s="55">
        <f t="shared" ca="1" si="33"/>
        <v>10272339</v>
      </c>
      <c r="N37" s="55">
        <f t="shared" ca="1" si="33"/>
        <v>2380985.04</v>
      </c>
      <c r="O37" s="56">
        <f t="shared" ca="1" si="29"/>
        <v>21.806538247543774</v>
      </c>
      <c r="P37" s="56">
        <f t="shared" ca="1" si="25"/>
        <v>23.178606547155425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7540500</v>
      </c>
      <c r="M41" s="79">
        <f t="shared" ca="1" si="34"/>
        <v>7355400</v>
      </c>
      <c r="N41" s="79">
        <f t="shared" ca="1" si="34"/>
        <v>347806.52</v>
      </c>
      <c r="O41" s="78">
        <f t="shared" ref="O41:O43" ca="1" si="35">IF(L41&gt;0,N41*100/L41,0)</f>
        <v>4.6125126980969435</v>
      </c>
      <c r="P41" s="78">
        <f t="shared" ref="P41:P43" ca="1" si="36">IF(M41&gt;0,N41*100/M41,0)</f>
        <v>4.7285874323626178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7540500</v>
      </c>
      <c r="M43" s="79">
        <f t="shared" ca="1" si="38"/>
        <v>7355400</v>
      </c>
      <c r="N43" s="79">
        <f t="shared" ca="1" si="38"/>
        <v>347806.52</v>
      </c>
      <c r="O43" s="78">
        <f t="shared" ca="1" si="35"/>
        <v>4.6125126980969435</v>
      </c>
      <c r="P43" s="78">
        <f t="shared" ca="1" si="36"/>
        <v>4.7285874323626178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IFERROR(__xludf.DUMMYFUNCTION("IMPORTRANGE(""https://docs.google.com/spreadsheets/d/1Yj_ptqi66GCucihVvJfMjLAmec39IyEx_6qawtMGysU/edit?usp=sharing"",""สบก!Q25"")"),555400)</f>
        <v>555400</v>
      </c>
      <c r="N45" s="50">
        <f ca="1">IFERROR(__xludf.DUMMYFUNCTION("IMPORTRANGE(""https://docs.google.com/spreadsheets/d/1Yj_ptqi66GCucihVvJfMjLAmec39IyEx_6qawtMGysU/edit?usp=sharing"",""สบก!R25"")"),347806.52)</f>
        <v>347806.52</v>
      </c>
      <c r="O45" s="39">
        <f ca="1">IF(L45&gt;0,N45*100/L45,0)</f>
        <v>46.969145172180959</v>
      </c>
      <c r="P45" s="39">
        <f ca="1">IF(M45&gt;0,N45*100/M45,0)</f>
        <v>62.622707958228304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IFERROR(__xludf.DUMMYFUNCTION("IMPORTRANGE(""https://docs.google.com/spreadsheets/d/1Yj_ptqi66GCucihVvJfMjLAmec39IyEx_6qawtMGysU/edit?usp=sharing"",""สบก!O25"")"),6800000)</f>
        <v>6800000</v>
      </c>
      <c r="M49" s="50">
        <f ca="1">L49</f>
        <v>6800000</v>
      </c>
      <c r="N49" s="50">
        <f ca="1">IFERROR(__xludf.DUMMYFUNCTION("IMPORTRANGE(""https://docs.google.com/spreadsheets/d/1Yj_ptqi66GCucihVvJfMjLAmec39IyEx_6qawtMGysU/edit?usp=sharing"",""สบก!S25"")"),0)</f>
        <v>0</v>
      </c>
      <c r="O49" s="50">
        <f ca="1">IF(L49&gt;0,N49*100/L49,0)</f>
        <v>0</v>
      </c>
      <c r="P49" s="50">
        <f ca="1">IF(M49&gt;0,N49*100/M49,0)</f>
        <v>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407139</v>
      </c>
      <c r="N53" s="121">
        <f t="shared" ca="1" si="39"/>
        <v>364088</v>
      </c>
      <c r="O53" s="120">
        <f t="shared" ref="O53:O55" ca="1" si="40">IF(L53&gt;0,N53*100/L53,0)</f>
        <v>91.022000000000006</v>
      </c>
      <c r="P53" s="120">
        <f t="shared" ref="P53:P55" ca="1" si="41">IF(M53&gt;0,N53*100/M53,0)</f>
        <v>89.42597000041755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407139</v>
      </c>
      <c r="N55" s="121">
        <f t="shared" ca="1" si="43"/>
        <v>364088</v>
      </c>
      <c r="O55" s="120">
        <f t="shared" ca="1" si="40"/>
        <v>91.022000000000006</v>
      </c>
      <c r="P55" s="120">
        <f t="shared" ca="1" si="41"/>
        <v>89.42597000041755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IFERROR(__xludf.DUMMYFUNCTION("IMPORTRANGE(""https://docs.google.com/spreadsheets/d/1Yj_ptqi66GCucihVvJfMjLAmec39IyEx_6qawtMGysU/edit?usp=sharing"",""สบก!Z25"")"),407139)</f>
        <v>407139</v>
      </c>
      <c r="N57" s="50">
        <f ca="1">IFERROR(__xludf.DUMMYFUNCTION("IMPORTRANGE(""https://docs.google.com/spreadsheets/d/1Yj_ptqi66GCucihVvJfMjLAmec39IyEx_6qawtMGysU/edit?usp=sharing"",""สบก!AA25"")"),364088)</f>
        <v>364088</v>
      </c>
      <c r="O57" s="39">
        <f ca="1">IF(L57&gt;0,N57*100/L57,0)</f>
        <v>91.022000000000006</v>
      </c>
      <c r="P57" s="39">
        <f ca="1">IF(M57&gt;0,N57*100/M57,0)</f>
        <v>89.42597000041755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IFERROR(__xludf.DUMMYFUNCTION("IMPORTRANGE(""https://docs.google.com/spreadsheets/d/1Yj_ptqi66GCucihVvJfMjLAmec39IyEx_6qawtMGysU/edit?usp=sharing"",""สบก!V25"")"),400000)</f>
        <v>400000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937200</v>
      </c>
      <c r="M66" s="152">
        <f t="shared" ca="1" si="45"/>
        <v>864820</v>
      </c>
      <c r="N66" s="152">
        <f t="shared" ca="1" si="45"/>
        <v>633461</v>
      </c>
      <c r="O66" s="151">
        <f t="shared" ref="O66:O68" ca="1" si="46">IF(L66&gt;0,N66*100/L66,0)</f>
        <v>67.590802390098162</v>
      </c>
      <c r="P66" s="151">
        <f t="shared" ref="P66:P68" ca="1" si="47">IF(M66&gt;0,N66*100/M66,0)</f>
        <v>73.247727850882271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937200</v>
      </c>
      <c r="M68" s="88">
        <f t="shared" ca="1" si="49"/>
        <v>864820</v>
      </c>
      <c r="N68" s="88">
        <f t="shared" ca="1" si="49"/>
        <v>633461</v>
      </c>
      <c r="O68" s="156">
        <f t="shared" ca="1" si="46"/>
        <v>67.590802390098162</v>
      </c>
      <c r="P68" s="156">
        <f t="shared" ca="1" si="47"/>
        <v>73.247727850882271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IFERROR(__xludf.DUMMYFUNCTION("IMPORTRANGE(""https://docs.google.com/spreadsheets/d/1Yj_ptqi66GCucihVvJfMjLAmec39IyEx_6qawtMGysU/edit?usp=sharing"",""สบก!AI25"")"),481220)</f>
        <v>481220</v>
      </c>
      <c r="N70" s="168">
        <f ca="1">IFERROR(__xludf.DUMMYFUNCTION("IMPORTRANGE(""https://docs.google.com/spreadsheets/d/1Yj_ptqi66GCucihVvJfMjLAmec39IyEx_6qawtMGysU/edit?usp=sharing"",""สบก!AJ25"")"),249861)</f>
        <v>249861</v>
      </c>
      <c r="O70" s="168">
        <f ca="1">IF(L70&gt;0,N70*100/L70,0)</f>
        <v>45.133851156069362</v>
      </c>
      <c r="P70" s="168">
        <f ca="1">IF(M70&gt;0,N70*100/M70,0)</f>
        <v>51.922405552553926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IFERROR(__xludf.DUMMYFUNCTION("IMPORTRANGE(""https://docs.google.com/spreadsheets/d/11923uPwbBZFjjGgGUA6NLw09EwE0CqkOc4q9oUmW1yo/edit?usp=sharing"",""น่าน!I28"")"),0)</f>
        <v>0</v>
      </c>
      <c r="J88" s="203">
        <f ca="1">IFERROR(__xludf.DUMMYFUNCTION("IMPORTRANGE(""https://docs.google.com/spreadsheets/d/11923uPwbBZFjjGgGUA6NLw09EwE0CqkOc4q9oUmW1yo/edit?usp=sharing"",""น่าน!J28"")"),0)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130697</v>
      </c>
      <c r="O94" s="151">
        <f t="shared" ref="O94:O96" ca="1" si="53">IF(L94&gt;0,N94*100/L94,0)</f>
        <v>61.044838860345635</v>
      </c>
      <c r="P94" s="151">
        <f t="shared" ref="P94:P96" ca="1" si="54">IF(M94&gt;0,N94*100/M94,0)</f>
        <v>61.044838860345635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214100</v>
      </c>
      <c r="N96" s="88">
        <f t="shared" ca="1" si="56"/>
        <v>130697</v>
      </c>
      <c r="O96" s="156">
        <f t="shared" ca="1" si="53"/>
        <v>61.044838860345635</v>
      </c>
      <c r="P96" s="156">
        <f t="shared" ca="1" si="54"/>
        <v>61.044838860345635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IFERROR(__xludf.DUMMYFUNCTION("IMPORTRANGE(""https://docs.google.com/spreadsheets/d/1Yj_ptqi66GCucihVvJfMjLAmec39IyEx_6qawtMGysU/edit?usp=sharing"",""สบก!AR25"")"),122100)</f>
        <v>122100</v>
      </c>
      <c r="N98" s="168">
        <f ca="1">IFERROR(__xludf.DUMMYFUNCTION("IMPORTRANGE(""https://docs.google.com/spreadsheets/d/1Yj_ptqi66GCucihVvJfMjLAmec39IyEx_6qawtMGysU/edit?usp=sharing"",""สบก!AS25"")"),38697)</f>
        <v>38697</v>
      </c>
      <c r="O98" s="168">
        <f ca="1">IF(L98&gt;0,N98*100/L98,0)</f>
        <v>31.692874692874692</v>
      </c>
      <c r="P98" s="168">
        <f ca="1">IF(M98&gt;0,N98*100/M98,0)</f>
        <v>31.692874692874692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IFERROR(__xludf.DUMMYFUNCTION("IMPORTRANGE(""https://docs.google.com/spreadsheets/d/11923uPwbBZFjjGgGUA6NLw09EwE0CqkOc4q9oUmW1yo/edit?usp=sharing"",""น่าน!J50"")"),0)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249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IFERROR(__xludf.DUMMYFUNCTION("IMPORTRANGE(""https://docs.google.com/spreadsheets/d/11923uPwbBZFjjGgGUA6NLw09EwE0CqkOc4q9oUmW1yo/edit?usp=sharing"",""น่าน!J65"")"),0)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IFERROR(__xludf.DUMMYFUNCTION("IMPORTRANGE(""https://docs.google.com/spreadsheets/d/11923uPwbBZFjjGgGUA6NLw09EwE0CqkOc4q9oUmW1yo/edit?usp=sharing"",""น่าน!I68"")"),90)</f>
        <v>90</v>
      </c>
      <c r="J138" s="266">
        <f ca="1">IFERROR(__xludf.DUMMYFUNCTION("IMPORTRANGE(""https://docs.google.com/spreadsheets/d/11923uPwbBZFjjGgGUA6NLw09EwE0CqkOc4q9oUmW1yo/edit?usp=sharing"",""น่าน!J68"")"),90)</f>
        <v>90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815200</v>
      </c>
      <c r="M140" s="152">
        <f t="shared" ca="1" si="64"/>
        <v>664325</v>
      </c>
      <c r="N140" s="152">
        <f t="shared" ca="1" si="64"/>
        <v>403206.52</v>
      </c>
      <c r="O140" s="151">
        <f t="shared" ref="O140:O142" ca="1" si="65">IF(L140&gt;0,N140*100/L140,0)</f>
        <v>49.46105495583906</v>
      </c>
      <c r="P140" s="151">
        <f t="shared" ref="P140:P142" ca="1" si="66">IF(M140&gt;0,N140*100/M140,0)</f>
        <v>60.694166258984687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815200</v>
      </c>
      <c r="M142" s="88">
        <f t="shared" ca="1" si="68"/>
        <v>664325</v>
      </c>
      <c r="N142" s="88">
        <f t="shared" ca="1" si="68"/>
        <v>403206.52</v>
      </c>
      <c r="O142" s="156">
        <f t="shared" ca="1" si="65"/>
        <v>49.46105495583906</v>
      </c>
      <c r="P142" s="156">
        <f t="shared" ca="1" si="66"/>
        <v>60.694166258984687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815200</v>
      </c>
      <c r="M144" s="167">
        <f ca="1">IFERROR(__xludf.DUMMYFUNCTION("IMPORTRANGE(""https://docs.google.com/spreadsheets/d/1Yj_ptqi66GCucihVvJfMjLAmec39IyEx_6qawtMGysU/edit?usp=sharing"",""สบก!BJ25"")"),664325)</f>
        <v>664325</v>
      </c>
      <c r="N144" s="168">
        <f ca="1">IFERROR(__xludf.DUMMYFUNCTION("IMPORTRANGE(""https://docs.google.com/spreadsheets/d/1Yj_ptqi66GCucihVvJfMjLAmec39IyEx_6qawtMGysU/edit?usp=sharing"",""สบก!BK25"")"),403206.52)</f>
        <v>403206.52</v>
      </c>
      <c r="O144" s="168">
        <f ca="1">IF(L144&gt;0,N144*100/L144,0)</f>
        <v>49.46105495583906</v>
      </c>
      <c r="P144" s="168">
        <f ca="1">IF(M144&gt;0,N144*100/M144,0)</f>
        <v>60.694166258984687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IFERROR(__xludf.DUMMYFUNCTION("IMPORTRANGE(""https://docs.google.com/spreadsheets/d/1Yj_ptqi66GCucihVvJfMjLAmec39IyEx_6qawtMGysU/edit?usp=sharing"",""สบก!BG25"")"),499300)</f>
        <v>499300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IFERROR(__xludf.DUMMYFUNCTION("IMPORTRANGE(""https://docs.google.com/spreadsheets/d/11923uPwbBZFjjGgGUA6NLw09EwE0CqkOc4q9oUmW1yo/edit?usp=sharing"",""น่าน!I74"")"),4)</f>
        <v>4</v>
      </c>
      <c r="J149" s="274">
        <f ca="1">IFERROR(__xludf.DUMMYFUNCTION("IMPORTRANGE(""https://docs.google.com/spreadsheets/d/11923uPwbBZFjjGgGUA6NLw09EwE0CqkOc4q9oUmW1yo/edit?usp=sharing"",""น่าน!J74"")"),2)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IFERROR(__xludf.DUMMYFUNCTION("IMPORTRANGE(""https://docs.google.com/spreadsheets/d/11923uPwbBZFjjGgGUA6NLw09EwE0CqkOc4q9oUmW1yo/edit?usp=sharing"",""น่าน!J84"")"),137)</f>
        <v>137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IFERROR(__xludf.DUMMYFUNCTION("IMPORTRANGE(""https://docs.google.com/spreadsheets/d/11923uPwbBZFjjGgGUA6NLw09EwE0CqkOc4q9oUmW1yo/edit?usp=sharing"",""น่าน!J85"")"),137)</f>
        <v>137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IFERROR(__xludf.DUMMYFUNCTION("IMPORTRANGE(""https://docs.google.com/spreadsheets/d/11923uPwbBZFjjGgGUA6NLw09EwE0CqkOc4q9oUmW1yo/edit?usp=sharing"",""น่าน!I89"")"),4)</f>
        <v>4</v>
      </c>
      <c r="J164" s="283">
        <f ca="1">IFERROR(__xludf.DUMMYFUNCTION("IMPORTRANGE(""https://docs.google.com/spreadsheets/d/11923uPwbBZFjjGgGUA6NLw09EwE0CqkOc4q9oUmW1yo/edit?usp=sharing"",""น่าน!J89"")"),4)</f>
        <v>4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IFERROR(__xludf.DUMMYFUNCTION("IMPORTRANGE(""https://docs.google.com/spreadsheets/d/11923uPwbBZFjjGgGUA6NLw09EwE0CqkOc4q9oUmW1yo/edit?usp=sharing"",""น่าน!I101"")"),0)</f>
        <v>0</v>
      </c>
      <c r="J176" s="283">
        <f ca="1">IFERROR(__xludf.DUMMYFUNCTION("IMPORTRANGE(""https://docs.google.com/spreadsheets/d/11923uPwbBZFjjGgGUA6NLw09EwE0CqkOc4q9oUmW1yo/edit?usp=sharing"",""น่าน!J101"")"),0)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IFERROR(__xludf.DUMMYFUNCTION("IMPORTRANGE(""https://docs.google.com/spreadsheets/d/11923uPwbBZFjjGgGUA6NLw09EwE0CqkOc4q9oUmW1yo/edit?usp=sharing"",""น่าน!J113"")"),0)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IFERROR(__xludf.DUMMYFUNCTION("IMPORTRANGE(""https://docs.google.com/spreadsheets/d/11923uPwbBZFjjGgGUA6NLw09EwE0CqkOc4q9oUmW1yo/edit?usp=sharing"",""น่าน!I114"")"),50000)</f>
        <v>50000</v>
      </c>
      <c r="J189" s="283">
        <f ca="1">IFERROR(__xludf.DUMMYFUNCTION("IMPORTRANGE(""https://docs.google.com/spreadsheets/d/11923uPwbBZFjjGgGUA6NLw09EwE0CqkOc4q9oUmW1yo/edit?usp=sharing"",""น่าน!J114"")"),0)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IFERROR(__xludf.DUMMYFUNCTION("IMPORTRANGE(""https://docs.google.com/spreadsheets/d/11923uPwbBZFjjGgGUA6NLw09EwE0CqkOc4q9oUmW1yo/edit?usp=sharing"",""น่าน!J128"")"),0)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IFERROR(__xludf.DUMMYFUNCTION("IMPORTRANGE(""https://docs.google.com/spreadsheets/d/11923uPwbBZFjjGgGUA6NLw09EwE0CqkOc4q9oUmW1yo/edit?usp=sharing"",""น่าน!I129"")"),90)</f>
        <v>90</v>
      </c>
      <c r="J204" s="283">
        <f ca="1">IFERROR(__xludf.DUMMYFUNCTION("IMPORTRANGE(""https://docs.google.com/spreadsheets/d/11923uPwbBZFjjGgGUA6NLw09EwE0CqkOc4q9oUmW1yo/edit?usp=sharing"",""น่าน!J129"")"),90)</f>
        <v>90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IFERROR(__xludf.DUMMYFUNCTION("IMPORTRANGE(""https://docs.google.com/spreadsheets/d/11923uPwbBZFjjGgGUA6NLw09EwE0CqkOc4q9oUmW1yo/edit?usp=sharing"",""น่าน!J143"")"),0)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IFERROR(__xludf.DUMMYFUNCTION("IMPORTRANGE(""https://docs.google.com/spreadsheets/d/11923uPwbBZFjjGgGUA6NLw09EwE0CqkOc4q9oUmW1yo/edit?usp=sharing"",""น่าน!I144"")"),15)</f>
        <v>15</v>
      </c>
      <c r="J219" s="266">
        <f ca="1">IFERROR(__xludf.DUMMYFUNCTION("IMPORTRANGE(""https://docs.google.com/spreadsheets/d/11923uPwbBZFjjGgGUA6NLw09EwE0CqkOc4q9oUmW1yo/edit?usp=sharing"",""น่าน!J144"")"),15)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19556</v>
      </c>
      <c r="O220" s="151">
        <f t="shared" ref="O220:O222" ca="1" si="73">IF(L220&gt;0,N220*100/L220,0)</f>
        <v>92.572781065088762</v>
      </c>
      <c r="P220" s="151">
        <f t="shared" ref="P220:P222" ca="1" si="74">IF(M220&gt;0,N220*100/M220,0)</f>
        <v>92.572781065088762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19556</v>
      </c>
      <c r="O222" s="156">
        <f t="shared" ca="1" si="73"/>
        <v>92.572781065088762</v>
      </c>
      <c r="P222" s="156">
        <f t="shared" ca="1" si="74"/>
        <v>92.572781065088762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IFERROR(__xludf.DUMMYFUNCTION("IMPORTRANGE(""https://docs.google.com/spreadsheets/d/1Yj_ptqi66GCucihVvJfMjLAmec39IyEx_6qawtMGysU/edit?usp=sharing"",""สบก!BT25"")"),19556)</f>
        <v>19556</v>
      </c>
      <c r="O224" s="168">
        <f ca="1">IF(L224&gt;0,N224*100/L224,0)</f>
        <v>92.572781065088762</v>
      </c>
      <c r="P224" s="168">
        <f ca="1">IF(M224&gt;0,N224*100/M224,0)</f>
        <v>92.572781065088762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IFERROR(__xludf.DUMMYFUNCTION("IMPORTRANGE(""https://docs.google.com/spreadsheets/d/11923uPwbBZFjjGgGUA6NLw09EwE0CqkOc4q9oUmW1yo/edit?usp=sharing"",""น่าน!I149"")"),15)</f>
        <v>15</v>
      </c>
      <c r="J229" s="266">
        <f ca="1">IFERROR(__xludf.DUMMYFUNCTION("IMPORTRANGE(""https://docs.google.com/spreadsheets/d/11923uPwbBZFjjGgGUA6NLw09EwE0CqkOc4q9oUmW1yo/edit?usp=sharing"",""น่าน!J149"")"),15)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IFERROR(__xludf.DUMMYFUNCTION("IMPORTRANGE(""https://docs.google.com/spreadsheets/d/11923uPwbBZFjjGgGUA6NLw09EwE0CqkOc4q9oUmW1yo/edit?usp=sharing"",""น่าน!J157"")"),0)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IFERROR(__xludf.DUMMYFUNCTION("IMPORTRANGE(""https://docs.google.com/spreadsheets/d/11923uPwbBZFjjGgGUA6NLw09EwE0CqkOc4q9oUmW1yo/edit?usp=sharing"",""น่าน!I158"")"),0)</f>
        <v>0</v>
      </c>
      <c r="J238" s="266">
        <f ca="1">IFERROR(__xludf.DUMMYFUNCTION("IMPORTRANGE(""https://docs.google.com/spreadsheets/d/11923uPwbBZFjjGgGUA6NLw09EwE0CqkOc4q9oUmW1yo/edit?usp=sharing"",""น่าน!J158"")"),0)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IFERROR(__xludf.DUMMYFUNCTION("IMPORTRANGE(""https://docs.google.com/spreadsheets/d/11923uPwbBZFjjGgGUA6NLw09EwE0CqkOc4q9oUmW1yo/edit?usp=sharing"",""น่าน!J166"")"),0)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IFERROR(__xludf.DUMMYFUNCTION("IMPORTRANGE(""https://docs.google.com/spreadsheets/d/11923uPwbBZFjjGgGUA6NLw09EwE0CqkOc4q9oUmW1yo/edit?usp=sharing"",""น่าน!I169"")"),0)</f>
        <v>0</v>
      </c>
      <c r="J249" s="315">
        <f ca="1">IFERROR(__xludf.DUMMYFUNCTION("IMPORTRANGE(""https://docs.google.com/spreadsheets/d/11923uPwbBZFjjGgGUA6NLw09EwE0CqkOc4q9oUmW1yo/edit?usp=sharing"",""น่าน!J169"")"),0)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IFERROR(__xludf.DUMMYFUNCTION("IMPORTRANGE(""https://docs.google.com/spreadsheets/d/11923uPwbBZFjjGgGUA6NLw09EwE0CqkOc4q9oUmW1yo/edit?usp=sharing"",""น่าน!J184"")"),0)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IFERROR(__xludf.DUMMYFUNCTION("IMPORTRANGE(""https://docs.google.com/spreadsheets/d/11923uPwbBZFjjGgGUA6NLw09EwE0CqkOc4q9oUmW1yo/edit?usp=sharing"",""น่าน!I185"")"),15)</f>
        <v>15</v>
      </c>
      <c r="J270" s="315">
        <f ca="1">IFERROR(__xludf.DUMMYFUNCTION("IMPORTRANGE(""https://docs.google.com/spreadsheets/d/11923uPwbBZFjjGgGUA6NLw09EwE0CqkOc4q9oUmW1yo/edit?usp=sharing"",""น่าน!J185"")"),15)</f>
        <v>15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32250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IFERROR(__xludf.DUMMYFUNCTION("IMPORTRANGE(""https://docs.google.com/spreadsheets/d/1Yj_ptqi66GCucihVvJfMjLAmec39IyEx_6qawtMGysU/edit?usp=sharing"",""สบก!CK25"")"),32250)</f>
        <v>32250</v>
      </c>
      <c r="N275" s="168">
        <f ca="1">IFERROR(__xludf.DUMMYFUNCTION("IMPORTRANGE(""https://docs.google.com/spreadsheets/d/1Yj_ptqi66GCucihVvJfMjLAmec39IyEx_6qawtMGysU/edit?usp=sharing"",""สบก!CL25"")"),32250)</f>
        <v>32250</v>
      </c>
      <c r="O275" s="168">
        <f ca="1">IF(L275&gt;0,N275*100/L275,0)</f>
        <v>58.423913043478258</v>
      </c>
      <c r="P275" s="168">
        <f ca="1">IF(M275&gt;0,N275*100/M275,0)</f>
        <v>100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IFERROR(__xludf.DUMMYFUNCTION("IMPORTRANGE(""https://docs.google.com/spreadsheets/d/11923uPwbBZFjjGgGUA6NLw09EwE0CqkOc4q9oUmW1yo/edit?usp=sharing"",""น่าน!I199"")"),0)</f>
        <v>0</v>
      </c>
      <c r="J289" s="315">
        <f ca="1">IFERROR(__xludf.DUMMYFUNCTION("IMPORTRANGE(""https://docs.google.com/spreadsheets/d/11923uPwbBZFjjGgGUA6NLw09EwE0CqkOc4q9oUmW1yo/edit?usp=sharing"",""น่าน!J199"")"),0)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IFERROR(__xludf.DUMMYFUNCTION("IMPORTRANGE(""https://docs.google.com/spreadsheets/d/11923uPwbBZFjjGgGUA6NLw09EwE0CqkOc4q9oUmW1yo/edit?usp=sharing"",""น่าน!J213"")"),0)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IFERROR(__xludf.DUMMYFUNCTION("IMPORTRANGE(""https://docs.google.com/spreadsheets/d/11923uPwbBZFjjGgGUA6NLw09EwE0CqkOc4q9oUmW1yo/edit?usp=sharing"",""น่าน!I214"")"),0)</f>
        <v>0</v>
      </c>
      <c r="J309" s="332">
        <f ca="1">IFERROR(__xludf.DUMMYFUNCTION("IMPORTRANGE(""https://docs.google.com/spreadsheets/d/11923uPwbBZFjjGgGUA6NLw09EwE0CqkOc4q9oUmW1yo/edit?usp=sharing"",""น่าน!J214"")"),0)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IFERROR(__xludf.DUMMYFUNCTION("IMPORTRANGE(""https://docs.google.com/spreadsheets/d/11923uPwbBZFjjGgGUA6NLw09EwE0CqkOc4q9oUmW1yo/edit?usp=sharing"",""น่าน!J226"")"),0)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IFERROR(__xludf.DUMMYFUNCTION("IMPORTRANGE(""https://docs.google.com/spreadsheets/d/11923uPwbBZFjjGgGUA6NLw09EwE0CqkOc4q9oUmW1yo/edit?usp=sharing"",""น่าน!I228"")"),480)</f>
        <v>480</v>
      </c>
      <c r="J328" s="338">
        <f ca="1">IFERROR(__xludf.DUMMYFUNCTION("IMPORTRANGE(""https://docs.google.com/spreadsheets/d/11923uPwbBZFjjGgGUA6NLw09EwE0CqkOc4q9oUmW1yo/edit?usp=sharing"",""น่าน!J228"")"),233)</f>
        <v>233</v>
      </c>
      <c r="K328" s="316">
        <f ca="1">IF(I328&gt;0,J328*100/I328,0)</f>
        <v>48.541666666666664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935350</v>
      </c>
      <c r="M329" s="152">
        <f t="shared" ca="1" si="98"/>
        <v>713180</v>
      </c>
      <c r="N329" s="152">
        <f t="shared" ca="1" si="98"/>
        <v>449920</v>
      </c>
      <c r="O329" s="151">
        <f t="shared" ref="O329:O331" ca="1" si="99">IF(L329&gt;0,N329*100/L329,0)</f>
        <v>48.101780082322122</v>
      </c>
      <c r="P329" s="151">
        <f t="shared" ref="P329:P331" ca="1" si="100">IF(M329&gt;0,N329*100/M329,0)</f>
        <v>63.086457836731263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935350</v>
      </c>
      <c r="M331" s="88">
        <f t="shared" ca="1" si="102"/>
        <v>713180</v>
      </c>
      <c r="N331" s="88">
        <f t="shared" ca="1" si="102"/>
        <v>449920</v>
      </c>
      <c r="O331" s="156">
        <f t="shared" ca="1" si="99"/>
        <v>48.101780082322122</v>
      </c>
      <c r="P331" s="156">
        <f t="shared" ca="1" si="100"/>
        <v>63.086457836731263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920350</v>
      </c>
      <c r="M333" s="167">
        <f ca="1">IFERROR(__xludf.DUMMYFUNCTION("IMPORTRANGE(""https://docs.google.com/spreadsheets/d/1Yj_ptqi66GCucihVvJfMjLAmec39IyEx_6qawtMGysU/edit?usp=sharing"",""สบก!DL25"")"),698180)</f>
        <v>698180</v>
      </c>
      <c r="N333" s="168">
        <f ca="1">IFERROR(__xludf.DUMMYFUNCTION("IMPORTRANGE(""https://docs.google.com/spreadsheets/d/1Yj_ptqi66GCucihVvJfMjLAmec39IyEx_6qawtMGysU/edit?usp=sharing"",""สบก!DM25"")"),434920)</f>
        <v>434920</v>
      </c>
      <c r="O333" s="168">
        <f ca="1">IF(L333&gt;0,N333*100/L333,0)</f>
        <v>47.255935242027491</v>
      </c>
      <c r="P333" s="168">
        <f ca="1">IF(M333&gt;0,N333*100/M333,0)</f>
        <v>62.293391389040075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IFERROR(__xludf.DUMMYFUNCTION("IMPORTRANGE(""https://docs.google.com/spreadsheets/d/1Yj_ptqi66GCucihVvJfMjLAmec39IyEx_6qawtMGysU/edit?usp=sharing"",""สบก!DI25"")"),502750)</f>
        <v>502750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IFERROR(__xludf.DUMMYFUNCTION("IMPORTRANGE(""https://docs.google.com/spreadsheets/d/11923uPwbBZFjjGgGUA6NLw09EwE0CqkOc4q9oUmW1yo/edit?usp=sharing"",""น่าน!J234"")"),272)</f>
        <v>272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IFERROR(__xludf.DUMMYFUNCTION("IMPORTRANGE(""https://docs.google.com/spreadsheets/d/11923uPwbBZFjjGgGUA6NLw09EwE0CqkOc4q9oUmW1yo/edit?usp=sharing"",""น่าน!J235"")"),899.44)</f>
        <v>899.44</v>
      </c>
      <c r="K340" s="341">
        <f t="shared" ca="1" si="103"/>
        <v>44.972000000000001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IFERROR(__xludf.DUMMYFUNCTION("IMPORTRANGE(""https://docs.google.com/spreadsheets/d/11923uPwbBZFjjGgGUA6NLw09EwE0CqkOc4q9oUmW1yo/edit?usp=sharing"",""น่าน!I236"")"),480)</f>
        <v>480</v>
      </c>
      <c r="J341" s="187">
        <f ca="1">IFERROR(__xludf.DUMMYFUNCTION("IMPORTRANGE(""https://docs.google.com/spreadsheets/d/11923uPwbBZFjjGgGUA6NLw09EwE0CqkOc4q9oUmW1yo/edit?usp=sharing"",""น่าน!J236"")"),355)</f>
        <v>355</v>
      </c>
      <c r="K341" s="341">
        <f t="shared" ca="1" si="103"/>
        <v>73.958333333333329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IFERROR(__xludf.DUMMYFUNCTION("IMPORTRANGE(""https://docs.google.com/spreadsheets/d/11923uPwbBZFjjGgGUA6NLw09EwE0CqkOc4q9oUmW1yo/edit?usp=sharing"",""น่าน!J237"")"),1539.1)</f>
        <v>1539.1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IFERROR(__xludf.DUMMYFUNCTION("IMPORTRANGE(""https://docs.google.com/spreadsheets/d/11923uPwbBZFjjGgGUA6NLw09EwE0CqkOc4q9oUmW1yo/edit?usp=sharing"",""น่าน!I238"")"),480)</f>
        <v>480</v>
      </c>
      <c r="J343" s="187">
        <f ca="1">IFERROR(__xludf.DUMMYFUNCTION("IMPORTRANGE(""https://docs.google.com/spreadsheets/d/11923uPwbBZFjjGgGUA6NLw09EwE0CqkOc4q9oUmW1yo/edit?usp=sharing"",""น่าน!J238"")"),2)</f>
        <v>2</v>
      </c>
      <c r="K343" s="341">
        <f t="shared" ca="1" si="103"/>
        <v>0.41666666666666669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IFERROR(__xludf.DUMMYFUNCTION("IMPORTRANGE(""https://docs.google.com/spreadsheets/d/11923uPwbBZFjjGgGUA6NLw09EwE0CqkOc4q9oUmW1yo/edit?usp=sharing"",""น่าน!J239"")"),17.52)</f>
        <v>17.52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IFERROR(__xludf.DUMMYFUNCTION("IMPORTRANGE(""https://docs.google.com/spreadsheets/d/11923uPwbBZFjjGgGUA6NLw09EwE0CqkOc4q9oUmW1yo/edit?usp=sharing"",""น่าน!I240"")"),480)</f>
        <v>480</v>
      </c>
      <c r="J345" s="187">
        <f ca="1">IFERROR(__xludf.DUMMYFUNCTION("IMPORTRANGE(""https://docs.google.com/spreadsheets/d/11923uPwbBZFjjGgGUA6NLw09EwE0CqkOc4q9oUmW1yo/edit?usp=sharing"",""น่าน!J240"")"),233)</f>
        <v>233</v>
      </c>
      <c r="K345" s="341">
        <f t="shared" ca="1" si="103"/>
        <v>48.541666666666664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IFERROR(__xludf.DUMMYFUNCTION("IMPORTRANGE(""https://docs.google.com/spreadsheets/d/11923uPwbBZFjjGgGUA6NLw09EwE0CqkOc4q9oUmW1yo/edit?usp=sharing"",""น่าน!J241"")"),1046.42)</f>
        <v>1046.42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IFERROR(__xludf.DUMMYFUNCTION("IMPORTRANGE(""https://docs.google.com/spreadsheets/d/11923uPwbBZFjjGgGUA6NLw09EwE0CqkOc4q9oUmW1yo/edit?usp=sharing"",""น่าน!L242"")"),2778894.41)</f>
        <v>2778894.41</v>
      </c>
      <c r="M347" s="357"/>
      <c r="N347" s="357">
        <f ca="1">IFERROR(__xludf.DUMMYFUNCTION("IMPORTRANGE(""https://docs.google.com/spreadsheets/d/11923uPwbBZFjjGgGUA6NLw09EwE0CqkOc4q9oUmW1yo/edit?usp=sharing"",""น่าน!M242"")"),689847)</f>
        <v>689847</v>
      </c>
      <c r="O347" s="357">
        <f ca="1">+IF(L347&gt;0,N347*100/L347,0)</f>
        <v>24.824512853656788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IFERROR(__xludf.DUMMYFUNCTION("IMPORTRANGE(""https://docs.google.com/spreadsheets/d/11923uPwbBZFjjGgGUA6NLw09EwE0CqkOc4q9oUmW1yo/edit?usp=sharing"",""น่าน!M244"")"),117529)</f>
        <v>117529</v>
      </c>
      <c r="O349" s="372">
        <f ca="1">+IF(L349&gt;0,N349*100/L349,0)</f>
        <v>33.908138830385738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IFERROR(__xludf.DUMMYFUNCTION("IMPORTRANGE(""https://docs.google.com/spreadsheets/d/11923uPwbBZFjjGgGUA6NLw09EwE0CqkOc4q9oUmW1yo/edit?usp=sharing"",""น่าน!M247"")"),117529)</f>
        <v>117529</v>
      </c>
      <c r="O352" s="165">
        <f t="shared" ca="1" si="105"/>
        <v>33.908138830385738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IFERROR(__xludf.DUMMYFUNCTION("IMPORTRANGE(""https://docs.google.com/spreadsheets/d/11923uPwbBZFjjGgGUA6NLw09EwE0CqkOc4q9oUmW1yo/edit?usp=sharing"",""น่าน!M249"")"),117529)</f>
        <v>117529</v>
      </c>
      <c r="O354" s="168">
        <f t="shared" ca="1" si="105"/>
        <v>33.908138830385738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IFERROR(__xludf.DUMMYFUNCTION("IMPORTRANGE(""https://docs.google.com/spreadsheets/d/11923uPwbBZFjjGgGUA6NLw09EwE0CqkOc4q9oUmW1yo/edit?usp=sharing"",""น่าน!M250"")"),44120)</f>
        <v>44120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IFERROR(__xludf.DUMMYFUNCTION("IMPORTRANGE(""https://docs.google.com/spreadsheets/d/11923uPwbBZFjjGgGUA6NLw09EwE0CqkOc4q9oUmW1yo/edit?usp=sharing"",""น่าน!M252"")"),70449)</f>
        <v>70449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IFERROR(__xludf.DUMMYFUNCTION("IMPORTRANGE(""https://docs.google.com/spreadsheets/d/11923uPwbBZFjjGgGUA6NLw09EwE0CqkOc4q9oUmW1yo/edit?usp=sharing"",""น่าน!M253"")"),2960)</f>
        <v>2960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IFERROR(__xludf.DUMMYFUNCTION("IMPORTRANGE(""https://docs.google.com/spreadsheets/d/11923uPwbBZFjjGgGUA6NLw09EwE0CqkOc4q9oUmW1yo/edit?usp=sharing"",""น่าน!M275"")"),164088)</f>
        <v>164088</v>
      </c>
      <c r="O380" s="372">
        <f ca="1">+IF(L380&gt;0,N380*100/L380,0)</f>
        <v>15.953797689884494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IFERROR(__xludf.DUMMYFUNCTION("IMPORTRANGE(""https://docs.google.com/spreadsheets/d/11923uPwbBZFjjGgGUA6NLw09EwE0CqkOc4q9oUmW1yo/edit?usp=sharing"",""น่าน!M278"")"),164088)</f>
        <v>164088</v>
      </c>
      <c r="O383" s="165">
        <f t="shared" ca="1" si="109"/>
        <v>15.953797689884494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IFERROR(__xludf.DUMMYFUNCTION("IMPORTRANGE(""https://docs.google.com/spreadsheets/d/11923uPwbBZFjjGgGUA6NLw09EwE0CqkOc4q9oUmW1yo/edit?usp=sharing"",""น่าน!M280"")"),164088)</f>
        <v>164088</v>
      </c>
      <c r="O385" s="168">
        <f t="shared" ca="1" si="109"/>
        <v>15.953797689884494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IFERROR(__xludf.DUMMYFUNCTION("IMPORTRANGE(""https://docs.google.com/spreadsheets/d/11923uPwbBZFjjGgGUA6NLw09EwE0CqkOc4q9oUmW1yo/edit?usp=sharing"",""น่าน!M281"")"),90890)</f>
        <v>90890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IFERROR(__xludf.DUMMYFUNCTION("IMPORTRANGE(""https://docs.google.com/spreadsheets/d/11923uPwbBZFjjGgGUA6NLw09EwE0CqkOc4q9oUmW1yo/edit?usp=sharing"",""น่าน!M283"")"),69558)</f>
        <v>69558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IFERROR(__xludf.DUMMYFUNCTION("IMPORTRANGE(""https://docs.google.com/spreadsheets/d/11923uPwbBZFjjGgGUA6NLw09EwE0CqkOc4q9oUmW1yo/edit?usp=sharing"",""น่าน!M284"")"),3640)</f>
        <v>3640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IFERROR(__xludf.DUMMYFUNCTION("IMPORTRANGE(""https://docs.google.com/spreadsheets/d/11923uPwbBZFjjGgGUA6NLw09EwE0CqkOc4q9oUmW1yo/edit?usp=sharing"",""น่าน!J296"")"),120)</f>
        <v>120</v>
      </c>
      <c r="K401" s="371">
        <f t="shared" ref="K401:K402" ca="1" si="111">IF(I401&gt;0,J401*100/I401,0)</f>
        <v>80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IFERROR(__xludf.DUMMYFUNCTION("IMPORTRANGE(""https://docs.google.com/spreadsheets/d/11923uPwbBZFjjGgGUA6NLw09EwE0CqkOc4q9oUmW1yo/edit?usp=sharing"",""น่าน!M296"")"),96503)</f>
        <v>96503</v>
      </c>
      <c r="O401" s="372">
        <f ca="1">+IF(L401&gt;0,N401*100/L401,0)</f>
        <v>55.846643518518519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IFERROR(__xludf.DUMMYFUNCTION("IMPORTRANGE(""https://docs.google.com/spreadsheets/d/11923uPwbBZFjjGgGUA6NLw09EwE0CqkOc4q9oUmW1yo/edit?usp=sharing"",""น่าน!J297"")"),20)</f>
        <v>20</v>
      </c>
      <c r="K402" s="371">
        <f t="shared" ca="1" si="111"/>
        <v>40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IFERROR(__xludf.DUMMYFUNCTION("IMPORTRANGE(""https://docs.google.com/spreadsheets/d/11923uPwbBZFjjGgGUA6NLw09EwE0CqkOc4q9oUmW1yo/edit?usp=sharing"",""น่าน!M299"")"),96503)</f>
        <v>96503</v>
      </c>
      <c r="O404" s="168">
        <f t="shared" ca="1" si="112"/>
        <v>55.846643518518519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IFERROR(__xludf.DUMMYFUNCTION("IMPORTRANGE(""https://docs.google.com/spreadsheets/d/11923uPwbBZFjjGgGUA6NLw09EwE0CqkOc4q9oUmW1yo/edit?usp=sharing"",""น่าน!M301"")"),96503)</f>
        <v>96503</v>
      </c>
      <c r="O406" s="168">
        <f t="shared" ca="1" si="112"/>
        <v>55.846643518518519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IFERROR(__xludf.DUMMYFUNCTION("IMPORTRANGE(""https://docs.google.com/spreadsheets/d/11923uPwbBZFjjGgGUA6NLw09EwE0CqkOc4q9oUmW1yo/edit?usp=sharing"",""น่าน!M302"")"),93943)</f>
        <v>93943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IFERROR(__xludf.DUMMYFUNCTION("IMPORTRANGE(""https://docs.google.com/spreadsheets/d/11923uPwbBZFjjGgGUA6NLw09EwE0CqkOc4q9oUmW1yo/edit?usp=sharing"",""น่าน!M305"")"),2560)</f>
        <v>2560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IFERROR(__xludf.DUMMYFUNCTION("IMPORTRANGE(""https://docs.google.com/spreadsheets/d/11923uPwbBZFjjGgGUA6NLw09EwE0CqkOc4q9oUmW1yo/edit?usp=sharing"",""น่าน!J311"")"),20)</f>
        <v>20</v>
      </c>
      <c r="K416" s="201">
        <f t="shared" ref="K416:K432" ca="1" si="113">IF(I416&gt;0,J416*100/I416,0)</f>
        <v>40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IFERROR(__xludf.DUMMYFUNCTION("IMPORTRANGE(""https://docs.google.com/spreadsheets/d/11923uPwbBZFjjGgGUA6NLw09EwE0CqkOc4q9oUmW1yo/edit?usp=sharing"",""น่าน!J317"")"),60)</f>
        <v>60</v>
      </c>
      <c r="K422" s="201">
        <f t="shared" ca="1" si="113"/>
        <v>66.666666666666671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IFERROR(__xludf.DUMMYFUNCTION("IMPORTRANGE(""https://docs.google.com/spreadsheets/d/11923uPwbBZFjjGgGUA6NLw09EwE0CqkOc4q9oUmW1yo/edit?usp=sharing"",""น่าน!M330"")"),67905)</f>
        <v>67905</v>
      </c>
      <c r="O435" s="411">
        <f t="shared" ref="O435:O439" ca="1" si="114">+IF(L435&gt;0,N435*100/L435,0)</f>
        <v>52.721273291925463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IFERROR(__xludf.DUMMYFUNCTION("IMPORTRANGE(""https://docs.google.com/spreadsheets/d/11923uPwbBZFjjGgGUA6NLw09EwE0CqkOc4q9oUmW1yo/edit?usp=sharing"",""น่าน!M332"")"),67905)</f>
        <v>67905</v>
      </c>
      <c r="O437" s="168">
        <f t="shared" ca="1" si="114"/>
        <v>52.721273291925463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IFERROR(__xludf.DUMMYFUNCTION("IMPORTRANGE(""https://docs.google.com/spreadsheets/d/11923uPwbBZFjjGgGUA6NLw09EwE0CqkOc4q9oUmW1yo/edit?usp=sharing"",""น่าน!M334"")"),67905)</f>
        <v>67905</v>
      </c>
      <c r="O439" s="168">
        <f t="shared" ca="1" si="114"/>
        <v>52.721273291925463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IFERROR(__xludf.DUMMYFUNCTION("IMPORTRANGE(""https://docs.google.com/spreadsheets/d/11923uPwbBZFjjGgGUA6NLw09EwE0CqkOc4q9oUmW1yo/edit?usp=sharing"",""น่าน!M335"")"),60025)</f>
        <v>60025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IFERROR(__xludf.DUMMYFUNCTION("IMPORTRANGE(""https://docs.google.com/spreadsheets/d/11923uPwbBZFjjGgGUA6NLw09EwE0CqkOc4q9oUmW1yo/edit?usp=sharing"",""น่าน!M338"")"),7880)</f>
        <v>7880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IFERROR(__xludf.DUMMYFUNCTION("IMPORTRANGE(""https://docs.google.com/spreadsheets/d/11923uPwbBZFjjGgGUA6NLw09EwE0CqkOc4q9oUmW1yo/edit?usp=sharing"",""น่าน!J350"")"),56593.38)</f>
        <v>56593.38</v>
      </c>
      <c r="K455" s="371">
        <f ca="1">IF(I455&gt;0,J455*100/I455,0)</f>
        <v>100.04663496384818</v>
      </c>
      <c r="L455" s="372">
        <f ca="1">IFERROR(__xludf.DUMMYFUNCTION("IMPORTRANGE(""https://docs.google.com/spreadsheets/d/11923uPwbBZFjjGgGUA6NLw09EwE0CqkOc4q9oUmW1yo/edit?usp=sharing"",""น่าน!L350"")"),615654.41)</f>
        <v>615654.41</v>
      </c>
      <c r="M455" s="372"/>
      <c r="N455" s="372">
        <f ca="1">IFERROR(__xludf.DUMMYFUNCTION("IMPORTRANGE(""https://docs.google.com/spreadsheets/d/11923uPwbBZFjjGgGUA6NLw09EwE0CqkOc4q9oUmW1yo/edit?usp=sharing"",""น่าน!M350"")"),106786)</f>
        <v>106786</v>
      </c>
      <c r="O455" s="372">
        <f t="shared" ref="O455:O459" ca="1" si="116">+IF(L455&gt;0,N455*100/L455,0)</f>
        <v>17.345120617263181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IFERROR(__xludf.DUMMYFUNCTION("IMPORTRANGE(""https://docs.google.com/spreadsheets/d/11923uPwbBZFjjGgGUA6NLw09EwE0CqkOc4q9oUmW1yo/edit?usp=sharing"",""น่าน!L352"")"),615654.41)</f>
        <v>615654.41</v>
      </c>
      <c r="M457" s="165"/>
      <c r="N457" s="168">
        <f ca="1">IFERROR(__xludf.DUMMYFUNCTION("IMPORTRANGE(""https://docs.google.com/spreadsheets/d/11923uPwbBZFjjGgGUA6NLw09EwE0CqkOc4q9oUmW1yo/edit?usp=sharing"",""น่าน!M352"")"),106786)</f>
        <v>106786</v>
      </c>
      <c r="O457" s="168">
        <f t="shared" ca="1" si="116"/>
        <v>17.345120617263181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IFERROR(__xludf.DUMMYFUNCTION("IMPORTRANGE(""https://docs.google.com/spreadsheets/d/11923uPwbBZFjjGgGUA6NLw09EwE0CqkOc4q9oUmW1yo/edit?usp=sharing"",""น่าน!L354"")"),615654.41)</f>
        <v>615654.41</v>
      </c>
      <c r="M459" s="168"/>
      <c r="N459" s="168">
        <f ca="1">IFERROR(__xludf.DUMMYFUNCTION("IMPORTRANGE(""https://docs.google.com/spreadsheets/d/11923uPwbBZFjjGgGUA6NLw09EwE0CqkOc4q9oUmW1yo/edit?usp=sharing"",""น่าน!M354"")"),106786)</f>
        <v>106786</v>
      </c>
      <c r="O459" s="168">
        <f t="shared" ca="1" si="116"/>
        <v>17.345120617263181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IFERROR(__xludf.DUMMYFUNCTION("IMPORTRANGE(""https://docs.google.com/spreadsheets/d/11923uPwbBZFjjGgGUA6NLw09EwE0CqkOc4q9oUmW1yo/edit?usp=sharing"",""น่าน!M357"")"),53516)</f>
        <v>53516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IFERROR(__xludf.DUMMYFUNCTION("IMPORTRANGE(""https://docs.google.com/spreadsheets/d/11923uPwbBZFjjGgGUA6NLw09EwE0CqkOc4q9oUmW1yo/edit?usp=sharing"",""น่าน!M358"")"),53270)</f>
        <v>53270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IFERROR(__xludf.DUMMYFUNCTION("IMPORTRANGE(""https://docs.google.com/spreadsheets/d/11923uPwbBZFjjGgGUA6NLw09EwE0CqkOc4q9oUmW1yo/edit?usp=sharing"",""น่าน!I359"")"),56567)</f>
        <v>56567</v>
      </c>
      <c r="J464" s="266">
        <f ca="1">IFERROR(__xludf.DUMMYFUNCTION("IMPORTRANGE(""https://docs.google.com/spreadsheets/d/11923uPwbBZFjjGgGUA6NLw09EwE0CqkOc4q9oUmW1yo/edit?usp=sharing"",""น่าน!J359"")"),56593.38)</f>
        <v>56593.38</v>
      </c>
      <c r="K464" s="267">
        <f t="shared" ref="K464:K515" ca="1" si="117">IF(I464&gt;0,J464*100/I464,0)</f>
        <v>100.04663496384818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IFERROR(__xludf.DUMMYFUNCTION("IMPORTRANGE(""https://docs.google.com/spreadsheets/d/11923uPwbBZFjjGgGUA6NLw09EwE0CqkOc4q9oUmW1yo/edit?usp=sharing"",""น่าน!J376"")"),56593.38)</f>
        <v>56593.38</v>
      </c>
      <c r="K481" s="201">
        <f t="shared" ca="1" si="117"/>
        <v>100.04663496384818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IFERROR(__xludf.DUMMYFUNCTION("IMPORTRANGE(""https://docs.google.com/spreadsheets/d/11923uPwbBZFjjGgGUA6NLw09EwE0CqkOc4q9oUmW1yo/edit?usp=sharing"",""น่าน!J378"")"),54263)</f>
        <v>54263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IFERROR(__xludf.DUMMYFUNCTION("IMPORTRANGE(""https://docs.google.com/spreadsheets/d/11923uPwbBZFjjGgGUA6NLw09EwE0CqkOc4q9oUmW1yo/edit?usp=sharing"",""น่าน!J379"")"),8784)</f>
        <v>8784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IFERROR(__xludf.DUMMYFUNCTION("IMPORTRANGE(""https://docs.google.com/spreadsheets/d/11923uPwbBZFjjGgGUA6NLw09EwE0CqkOc4q9oUmW1yo/edit?usp=sharing"",""น่าน!J380"")"),1748.72)</f>
        <v>1748.72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IFERROR(__xludf.DUMMYFUNCTION("IMPORTRANGE(""https://docs.google.com/spreadsheets/d/11923uPwbBZFjjGgGUA6NLw09EwE0CqkOc4q9oUmW1yo/edit?usp=sharing"",""น่าน!J381"")"),186)</f>
        <v>186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IFERROR(__xludf.DUMMYFUNCTION("IMPORTRANGE(""https://docs.google.com/spreadsheets/d/11923uPwbBZFjjGgGUA6NLw09EwE0CqkOc4q9oUmW1yo/edit?usp=sharing"",""น่าน!J382"")"),581.66)</f>
        <v>581.66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IFERROR(__xludf.DUMMYFUNCTION("IMPORTRANGE(""https://docs.google.com/spreadsheets/d/11923uPwbBZFjjGgGUA6NLw09EwE0CqkOc4q9oUmW1yo/edit?usp=sharing"",""น่าน!J384"")"),554.17)</f>
        <v>554.16999999999996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IFERROR(__xludf.DUMMYFUNCTION("IMPORTRANGE(""https://docs.google.com/spreadsheets/d/11923uPwbBZFjjGgGUA6NLw09EwE0CqkOc4q9oUmW1yo/edit?usp=sharing"",""น่าน!J385"")"),103)</f>
        <v>103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IFERROR(__xludf.DUMMYFUNCTION("IMPORTRANGE(""https://docs.google.com/spreadsheets/d/11923uPwbBZFjjGgGUA6NLw09EwE0CqkOc4q9oUmW1yo/edit?usp=sharing"",""น่าน!J386"")"),27.49)</f>
        <v>27.49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IFERROR(__xludf.DUMMYFUNCTION("IMPORTRANGE(""https://docs.google.com/spreadsheets/d/11923uPwbBZFjjGgGUA6NLw09EwE0CqkOc4q9oUmW1yo/edit?usp=sharing"",""น่าน!J387"")"),4)</f>
        <v>4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IFERROR(__xludf.DUMMYFUNCTION("IMPORTRANGE(""https://docs.google.com/spreadsheets/d/11923uPwbBZFjjGgGUA6NLw09EwE0CqkOc4q9oUmW1yo/edit?usp=sharing"",""น่าน!I411"")"),0)</f>
        <v>0</v>
      </c>
      <c r="J516" s="266">
        <f ca="1">IFERROR(__xludf.DUMMYFUNCTION("IMPORTRANGE(""https://docs.google.com/spreadsheets/d/11923uPwbBZFjjGgGUA6NLw09EwE0CqkOc4q9oUmW1yo/edit?usp=sharing"",""น่าน!J411"")"),0)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IFERROR(__xludf.DUMMYFUNCTION("IMPORTRANGE(""https://docs.google.com/spreadsheets/d/11923uPwbBZFjjGgGUA6NLw09EwE0CqkOc4q9oUmW1yo/edit?usp=sharing"",""น่าน!I412"")"),0)</f>
        <v>0</v>
      </c>
      <c r="J517" s="283">
        <f ca="1">IFERROR(__xludf.DUMMYFUNCTION("IMPORTRANGE(""https://docs.google.com/spreadsheets/d/11923uPwbBZFjjGgGUA6NLw09EwE0CqkOc4q9oUmW1yo/edit?usp=sharing"",""น่าน!J412"")"),0)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IFERROR(__xludf.DUMMYFUNCTION("IMPORTRANGE(""https://docs.google.com/spreadsheets/d/11923uPwbBZFjjGgGUA6NLw09EwE0CqkOc4q9oUmW1yo/edit?usp=sharing"",""น่าน!I413"")"),0)</f>
        <v>0</v>
      </c>
      <c r="J518" s="283">
        <f ca="1">IFERROR(__xludf.DUMMYFUNCTION("IMPORTRANGE(""https://docs.google.com/spreadsheets/d/11923uPwbBZFjjGgGUA6NLw09EwE0CqkOc4q9oUmW1yo/edit?usp=sharing"",""น่าน!J413"")"),0)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IFERROR(__xludf.DUMMYFUNCTION("IMPORTRANGE(""https://docs.google.com/spreadsheets/d/11923uPwbBZFjjGgGUA6NLw09EwE0CqkOc4q9oUmW1yo/edit?usp=sharing"",""น่าน!I420"")"),13)</f>
        <v>13</v>
      </c>
      <c r="J525" s="283">
        <f ca="1">IFERROR(__xludf.DUMMYFUNCTION("IMPORTRANGE(""https://docs.google.com/spreadsheets/d/11923uPwbBZFjjGgGUA6NLw09EwE0CqkOc4q9oUmW1yo/edit?usp=sharing"",""น่าน!J420"")"),0)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IFERROR(__xludf.DUMMYFUNCTION("IMPORTRANGE(""https://docs.google.com/spreadsheets/d/11923uPwbBZFjjGgGUA6NLw09EwE0CqkOc4q9oUmW1yo/edit?usp=sharing"",""น่าน!I421"")"),4)</f>
        <v>4</v>
      </c>
      <c r="J526" s="283">
        <f ca="1">IFERROR(__xludf.DUMMYFUNCTION("IMPORTRANGE(""https://docs.google.com/spreadsheets/d/11923uPwbBZFjjGgGUA6NLw09EwE0CqkOc4q9oUmW1yo/edit?usp=sharing"",""น่าน!J421"")"),0)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IFERROR(__xludf.DUMMYFUNCTION("IMPORTRANGE(""https://docs.google.com/spreadsheets/d/11923uPwbBZFjjGgGUA6NLw09EwE0CqkOc4q9oUmW1yo/edit?usp=sharing"",""น่าน!M428"")"),26076)</f>
        <v>26076</v>
      </c>
      <c r="O533" s="411">
        <f t="shared" ref="O533:O537" ca="1" si="118">+IF(L533&gt;0,N533*100/L533,0)</f>
        <v>75.934769947582993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IFERROR(__xludf.DUMMYFUNCTION("IMPORTRANGE(""https://docs.google.com/spreadsheets/d/11923uPwbBZFjjGgGUA6NLw09EwE0CqkOc4q9oUmW1yo/edit?usp=sharing"",""น่าน!M430"")"),26076)</f>
        <v>26076</v>
      </c>
      <c r="O535" s="168">
        <f t="shared" ca="1" si="118"/>
        <v>75.934769947582993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IFERROR(__xludf.DUMMYFUNCTION("IMPORTRANGE(""https://docs.google.com/spreadsheets/d/11923uPwbBZFjjGgGUA6NLw09EwE0CqkOc4q9oUmW1yo/edit?usp=sharing"",""น่าน!M432"")"),26076)</f>
        <v>26076</v>
      </c>
      <c r="O537" s="168">
        <f t="shared" ca="1" si="118"/>
        <v>75.934769947582993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IFERROR(__xludf.DUMMYFUNCTION("IMPORTRANGE(""https://docs.google.com/spreadsheets/d/11923uPwbBZFjjGgGUA6NLw09EwE0CqkOc4q9oUmW1yo/edit?usp=sharing"",""น่าน!M436"")"),7110)</f>
        <v>7110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IFERROR(__xludf.DUMMYFUNCTION("IMPORTRANGE(""https://docs.google.com/spreadsheets/d/11923uPwbBZFjjGgGUA6NLw09EwE0CqkOc4q9oUmW1yo/edit?usp=sharing"",""น่าน!J459"")"),1137)</f>
        <v>1137</v>
      </c>
      <c r="K564" s="371">
        <f ca="1">IF(I564&gt;0,J564*100/I564,0)</f>
        <v>52.883720930232556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IFERROR(__xludf.DUMMYFUNCTION("IMPORTRANGE(""https://docs.google.com/spreadsheets/d/11923uPwbBZFjjGgGUA6NLw09EwE0CqkOc4q9oUmW1yo/edit?usp=sharing"",""น่าน!M459"")"),54790)</f>
        <v>54790</v>
      </c>
      <c r="O564" s="372">
        <f t="shared" ref="O564:O568" ca="1" si="122">+IF(L564&gt;0,N564*100/L564,0)</f>
        <v>37.838397790055247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IFERROR(__xludf.DUMMYFUNCTION("IMPORTRANGE(""https://docs.google.com/spreadsheets/d/11923uPwbBZFjjGgGUA6NLw09EwE0CqkOc4q9oUmW1yo/edit?usp=sharing"",""น่าน!M461"")"),54790)</f>
        <v>54790</v>
      </c>
      <c r="O566" s="168">
        <f t="shared" ca="1" si="122"/>
        <v>37.838397790055247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IFERROR(__xludf.DUMMYFUNCTION("IMPORTRANGE(""https://docs.google.com/spreadsheets/d/11923uPwbBZFjjGgGUA6NLw09EwE0CqkOc4q9oUmW1yo/edit?usp=sharing"",""น่าน!M463"")"),54790)</f>
        <v>54790</v>
      </c>
      <c r="O568" s="168">
        <f t="shared" ca="1" si="122"/>
        <v>37.838397790055247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IFERROR(__xludf.DUMMYFUNCTION("IMPORTRANGE(""https://docs.google.com/spreadsheets/d/11923uPwbBZFjjGgGUA6NLw09EwE0CqkOc4q9oUmW1yo/edit?usp=sharing"",""น่าน!M466"")"),52830)</f>
        <v>52830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IFERROR(__xludf.DUMMYFUNCTION("IMPORTRANGE(""https://docs.google.com/spreadsheets/d/11923uPwbBZFjjGgGUA6NLw09EwE0CqkOc4q9oUmW1yo/edit?usp=sharing"",""น่าน!M467"")"),1960)</f>
        <v>1960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IFERROR(__xludf.DUMMYFUNCTION("IMPORTRANGE(""https://docs.google.com/spreadsheets/d/11923uPwbBZFjjGgGUA6NLw09EwE0CqkOc4q9oUmW1yo/edit?usp=sharing"",""น่าน!J468"")"),1137)</f>
        <v>1137</v>
      </c>
      <c r="K573" s="201">
        <f ca="1">IF(I573&gt;0,J573*100/I573,0)</f>
        <v>52.883720930232556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IFERROR(__xludf.DUMMYFUNCTION("IMPORTRANGE(""https://docs.google.com/spreadsheets/d/11923uPwbBZFjjGgGUA6NLw09EwE0CqkOc4q9oUmW1yo/edit?usp=sharing"",""น่าน!J471"")"),163)</f>
        <v>163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IFERROR(__xludf.DUMMYFUNCTION("IMPORTRANGE(""https://docs.google.com/spreadsheets/d/11923uPwbBZFjjGgGUA6NLw09EwE0CqkOc4q9oUmW1yo/edit?usp=sharing"",""น่าน!J472"")"),954)</f>
        <v>954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IFERROR(__xludf.DUMMYFUNCTION("IMPORTRANGE(""https://docs.google.com/spreadsheets/d/11923uPwbBZFjjGgGUA6NLw09EwE0CqkOc4q9oUmW1yo/edit?usp=sharing"",""น่าน!J473"")"),20)</f>
        <v>20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IFERROR(__xludf.DUMMYFUNCTION("IMPORTRANGE(""https://docs.google.com/spreadsheets/d/11923uPwbBZFjjGgGUA6NLw09EwE0CqkOc4q9oUmW1yo/edit?usp=sharing"",""น่าน!J475"")"),4)</f>
        <v>4</v>
      </c>
      <c r="K580" s="371">
        <f ca="1">IF(I580&gt;0,J580*100/I580,0)</f>
        <v>5.7142857142857144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IFERROR(__xludf.DUMMYFUNCTION("IMPORTRANGE(""https://docs.google.com/spreadsheets/d/11923uPwbBZFjjGgGUA6NLw09EwE0CqkOc4q9oUmW1yo/edit?usp=sharing"",""น่าน!M475"")"),54370)</f>
        <v>54370</v>
      </c>
      <c r="O580" s="372">
        <f t="shared" ref="O580:O584" ca="1" si="124">+IF(L580&gt;0,N580*100/L580,0)</f>
        <v>18.216236137635274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IFERROR(__xludf.DUMMYFUNCTION("IMPORTRANGE(""https://docs.google.com/spreadsheets/d/11923uPwbBZFjjGgGUA6NLw09EwE0CqkOc4q9oUmW1yo/edit?usp=sharing"",""น่าน!M477"")"),54370)</f>
        <v>54370</v>
      </c>
      <c r="O582" s="168">
        <f t="shared" ca="1" si="124"/>
        <v>18.216236137635274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IFERROR(__xludf.DUMMYFUNCTION("IMPORTRANGE(""https://docs.google.com/spreadsheets/d/11923uPwbBZFjjGgGUA6NLw09EwE0CqkOc4q9oUmW1yo/edit?usp=sharing"",""น่าน!M479"")"),54370)</f>
        <v>54370</v>
      </c>
      <c r="O584" s="168">
        <f t="shared" ca="1" si="124"/>
        <v>18.216236137635274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IFERROR(__xludf.DUMMYFUNCTION("IMPORTRANGE(""https://docs.google.com/spreadsheets/d/11923uPwbBZFjjGgGUA6NLw09EwE0CqkOc4q9oUmW1yo/edit?usp=sharing"",""น่าน!M482"")"),51320)</f>
        <v>51320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IFERROR(__xludf.DUMMYFUNCTION("IMPORTRANGE(""https://docs.google.com/spreadsheets/d/11923uPwbBZFjjGgGUA6NLw09EwE0CqkOc4q9oUmW1yo/edit?usp=sharing"",""น่าน!M483"")"),3050)</f>
        <v>3050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IFERROR(__xludf.DUMMYFUNCTION("IMPORTRANGE(""https://docs.google.com/spreadsheets/d/11923uPwbBZFjjGgGUA6NLw09EwE0CqkOc4q9oUmW1yo/edit?usp=sharing"",""น่าน!J484"")"),1)</f>
        <v>1</v>
      </c>
      <c r="K589" s="163">
        <f t="shared" ref="K589:K596" ca="1" si="125">IF(I589&gt;0,J589*100/I589,0)</f>
        <v>1.4285714285714286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IFERROR(__xludf.DUMMYFUNCTION("IMPORTRANGE(""https://docs.google.com/spreadsheets/d/11923uPwbBZFjjGgGUA6NLw09EwE0CqkOc4q9oUmW1yo/edit?usp=sharing"",""น่าน!J485"")"),1.75)</f>
        <v>1.75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IFERROR(__xludf.DUMMYFUNCTION("IMPORTRANGE(""https://docs.google.com/spreadsheets/d/11923uPwbBZFjjGgGUA6NLw09EwE0CqkOc4q9oUmW1yo/edit?usp=sharing"",""น่าน!J486"")"),2)</f>
        <v>2</v>
      </c>
      <c r="K591" s="163">
        <f t="shared" ca="1" si="125"/>
        <v>2.8571428571428572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IFERROR(__xludf.DUMMYFUNCTION("IMPORTRANGE(""https://docs.google.com/spreadsheets/d/11923uPwbBZFjjGgGUA6NLw09EwE0CqkOc4q9oUmW1yo/edit?usp=sharing"",""น่าน!J487"")"),0.77)</f>
        <v>0.77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IFERROR(__xludf.DUMMYFUNCTION("IMPORTRANGE(""https://docs.google.com/spreadsheets/d/11923uPwbBZFjjGgGUA6NLw09EwE0CqkOc4q9oUmW1yo/edit?usp=sharing"",""น่าน!J490"")"),4)</f>
        <v>4</v>
      </c>
      <c r="K595" s="163">
        <f t="shared" ca="1" si="125"/>
        <v>5.7142857142857144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IFERROR(__xludf.DUMMYFUNCTION("IMPORTRANGE(""https://docs.google.com/spreadsheets/d/11923uPwbBZFjjGgGUA6NLw09EwE0CqkOc4q9oUmW1yo/edit?usp=sharing"",""น่าน!I491"")"),0)</f>
        <v>0</v>
      </c>
      <c r="J596" s="240">
        <f ca="1">IFERROR(__xludf.DUMMYFUNCTION("IMPORTRANGE(""https://docs.google.com/spreadsheets/d/11923uPwbBZFjjGgGUA6NLw09EwE0CqkOc4q9oUmW1yo/edit?usp=sharing"",""น่าน!J491"")"),0.88)</f>
        <v>0.88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7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IFERROR(__xludf.DUMMYFUNCTION("IMPORTRANGE(""https://docs.google.com/spreadsheets/d/11923uPwbBZFjjGgGUA6NLw09EwE0CqkOc4q9oUmW1yo/edit?usp=sharing"",""น่าน!L492"")"),8900)</f>
        <v>8900</v>
      </c>
      <c r="M597" s="411"/>
      <c r="N597" s="411">
        <f ca="1">IFERROR(__xludf.DUMMYFUNCTION("IMPORTRANGE(""https://docs.google.com/spreadsheets/d/11923uPwbBZFjjGgGUA6NLw09EwE0CqkOc4q9oUmW1yo/edit?usp=sharing"",""น่าน!M492"")"),1800)</f>
        <v>1800</v>
      </c>
      <c r="O597" s="411">
        <f t="shared" ref="O597:O601" ca="1" si="126">+IF(L597&gt;0,N597*100/L597,0)</f>
        <v>20.224719101123597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IFERROR(__xludf.DUMMYFUNCTION("IMPORTRANGE(""https://docs.google.com/spreadsheets/d/11923uPwbBZFjjGgGUA6NLw09EwE0CqkOc4q9oUmW1yo/edit?usp=sharing"",""น่าน!I523"")"),5152563.63)</f>
        <v>5152563.63</v>
      </c>
      <c r="J628" s="340">
        <f ca="1">IFERROR(__xludf.DUMMYFUNCTION("IMPORTRANGE(""https://docs.google.com/spreadsheets/d/11923uPwbBZFjjGgGUA6NLw09EwE0CqkOc4q9oUmW1yo/edit?usp=sharing"",""น่าน!J523"")"),1814737.99)</f>
        <v>1814737.99</v>
      </c>
      <c r="K628" s="341">
        <f t="shared" ref="K628:K635" ca="1" si="129">IF(I628&gt;0,J628*100/I628,0)</f>
        <v>35.220098582266317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IFERROR(__xludf.DUMMYFUNCTION("IMPORTRANGE(""https://docs.google.com/spreadsheets/d/11923uPwbBZFjjGgGUA6NLw09EwE0CqkOc4q9oUmW1yo/edit?usp=sharing"",""น่าน!I524"")"),327)</f>
        <v>327</v>
      </c>
      <c r="J629" s="340">
        <f ca="1">IFERROR(__xludf.DUMMYFUNCTION("IMPORTRANGE(""https://docs.google.com/spreadsheets/d/11923uPwbBZFjjGgGUA6NLw09EwE0CqkOc4q9oUmW1yo/edit?usp=sharing"",""น่าน!J524"")"),122)</f>
        <v>122</v>
      </c>
      <c r="K629" s="341">
        <f t="shared" ca="1" si="129"/>
        <v>37.308868501529055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IFERROR(__xludf.DUMMYFUNCTION("IMPORTRANGE(""https://docs.google.com/spreadsheets/d/11923uPwbBZFjjGgGUA6NLw09EwE0CqkOc4q9oUmW1yo/edit?usp=sharing"",""น่าน!I525"")"),1068977.23)</f>
        <v>1068977.23</v>
      </c>
      <c r="J630" s="340">
        <f ca="1">IFERROR(__xludf.DUMMYFUNCTION("IMPORTRANGE(""https://docs.google.com/spreadsheets/d/11923uPwbBZFjjGgGUA6NLw09EwE0CqkOc4q9oUmW1yo/edit?usp=sharing"",""น่าน!J525"")"),325275.76)</f>
        <v>325275.76</v>
      </c>
      <c r="K630" s="341">
        <f t="shared" ca="1" si="129"/>
        <v>30.428689299584054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IFERROR(__xludf.DUMMYFUNCTION("IMPORTRANGE(""https://docs.google.com/spreadsheets/d/11923uPwbBZFjjGgGUA6NLw09EwE0CqkOc4q9oUmW1yo/edit?usp=sharing"",""น่าน!I526"")"),68)</f>
        <v>68</v>
      </c>
      <c r="J631" s="340">
        <f ca="1">IFERROR(__xludf.DUMMYFUNCTION("IMPORTRANGE(""https://docs.google.com/spreadsheets/d/11923uPwbBZFjjGgGUA6NLw09EwE0CqkOc4q9oUmW1yo/edit?usp=sharing"",""น่าน!J526"")"),57)</f>
        <v>57</v>
      </c>
      <c r="K631" s="341">
        <f t="shared" ca="1" si="129"/>
        <v>83.82352941176471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IFERROR(__xludf.DUMMYFUNCTION("IMPORTRANGE(""https://docs.google.com/spreadsheets/d/11923uPwbBZFjjGgGUA6NLw09EwE0CqkOc4q9oUmW1yo/edit?usp=sharing"",""น่าน!I527"")"),0)</f>
        <v>0</v>
      </c>
      <c r="J632" s="340">
        <f ca="1">IFERROR(__xludf.DUMMYFUNCTION("IMPORTRANGE(""https://docs.google.com/spreadsheets/d/11923uPwbBZFjjGgGUA6NLw09EwE0CqkOc4q9oUmW1yo/edit?usp=sharing"",""น่าน!J527"")"),0)</f>
        <v>0</v>
      </c>
      <c r="K632" s="341">
        <f t="shared" ca="1" si="129"/>
        <v>0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IFERROR(__xludf.DUMMYFUNCTION("IMPORTRANGE(""https://docs.google.com/spreadsheets/d/11923uPwbBZFjjGgGUA6NLw09EwE0CqkOc4q9oUmW1yo/edit?usp=sharing"",""น่าน!I528"")"),0)</f>
        <v>0</v>
      </c>
      <c r="J633" s="340">
        <f ca="1">IFERROR(__xludf.DUMMYFUNCTION("IMPORTRANGE(""https://docs.google.com/spreadsheets/d/11923uPwbBZFjjGgGUA6NLw09EwE0CqkOc4q9oUmW1yo/edit?usp=sharing"",""น่าน!J528"")"),0)</f>
        <v>0</v>
      </c>
      <c r="K633" s="341">
        <f t="shared" ca="1" si="129"/>
        <v>0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IFERROR(__xludf.DUMMYFUNCTION("IMPORTRANGE(""https://docs.google.com/spreadsheets/d/11923uPwbBZFjjGgGUA6NLw09EwE0CqkOc4q9oUmW1yo/edit?usp=sharing"",""น่าน!I529"")"),6000000)</f>
        <v>6000000</v>
      </c>
      <c r="J634" s="340">
        <f ca="1">IFERROR(__xludf.DUMMYFUNCTION("IMPORTRANGE(""https://docs.google.com/spreadsheets/d/11923uPwbBZFjjGgGUA6NLw09EwE0CqkOc4q9oUmW1yo/edit?usp=sharing"",""น่าน!J529"")"),800000)</f>
        <v>800000</v>
      </c>
      <c r="K634" s="341">
        <f t="shared" ca="1" si="129"/>
        <v>13.333333333333334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IFERROR(__xludf.DUMMYFUNCTION("IMPORTRANGE(""https://docs.google.com/spreadsheets/d/11923uPwbBZFjjGgGUA6NLw09EwE0CqkOc4q9oUmW1yo/edit?usp=sharing"",""น่าน!I530"")"),223)</f>
        <v>223</v>
      </c>
      <c r="J635" s="504">
        <f ca="1">IFERROR(__xludf.DUMMYFUNCTION("IMPORTRANGE(""https://docs.google.com/spreadsheets/d/11923uPwbBZFjjGgGUA6NLw09EwE0CqkOc4q9oUmW1yo/edit?usp=sharing"",""น่าน!J530"")"),16)</f>
        <v>16</v>
      </c>
      <c r="K635" s="486">
        <f t="shared" ca="1" si="129"/>
        <v>7.1748878923766819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K570" sqref="K570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250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6315110.5</v>
      </c>
      <c r="M8" s="23">
        <f t="shared" ca="1" si="0"/>
        <v>3102669.3</v>
      </c>
      <c r="N8" s="23">
        <f t="shared" ca="1" si="0"/>
        <v>2858401.0299999989</v>
      </c>
      <c r="O8" s="22">
        <f t="shared" ref="O8:O16" ca="1" si="1">IF(L8&gt;0,N8*100/L8,0)</f>
        <v>45.262882256771263</v>
      </c>
      <c r="P8" s="22">
        <f t="shared" ref="P8:P16" ca="1" si="2">IF(M8&gt;0,N8*100/M8,0)</f>
        <v>92.127157412489922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6315110.5</v>
      </c>
      <c r="M10" s="30">
        <f t="shared" ca="1" si="4"/>
        <v>3102669.3</v>
      </c>
      <c r="N10" s="30">
        <f t="shared" ca="1" si="4"/>
        <v>2858401.0299999989</v>
      </c>
      <c r="O10" s="29">
        <f t="shared" ca="1" si="1"/>
        <v>45.262882256771263</v>
      </c>
      <c r="P10" s="29">
        <f t="shared" ca="1" si="2"/>
        <v>92.127157412489922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5923310.5</v>
      </c>
      <c r="M12" s="39">
        <f t="shared" ca="1" si="6"/>
        <v>2710869.3</v>
      </c>
      <c r="N12" s="39">
        <f t="shared" ca="1" si="6"/>
        <v>2466601.0299999989</v>
      </c>
      <c r="O12" s="39">
        <f t="shared" ca="1" si="1"/>
        <v>41.642271327832617</v>
      </c>
      <c r="P12" s="39">
        <f t="shared" ca="1" si="2"/>
        <v>90.989301107213066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1732200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4191110.5</v>
      </c>
      <c r="M14" s="39">
        <f t="shared" si="8"/>
        <v>0</v>
      </c>
      <c r="N14" s="39">
        <f t="shared" ca="1" si="8"/>
        <v>776740.78999999899</v>
      </c>
      <c r="O14" s="39">
        <f t="shared" ca="1" si="1"/>
        <v>18.533054425551388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3768875</v>
      </c>
      <c r="M18" s="23">
        <f t="shared" ca="1" si="11"/>
        <v>3102669.3</v>
      </c>
      <c r="N18" s="23">
        <f t="shared" ca="1" si="11"/>
        <v>2081660.24</v>
      </c>
      <c r="O18" s="22">
        <f t="shared" ref="O18:O20" ca="1" si="12">IF(L18&gt;0,N18*100/L18,0)</f>
        <v>55.232933965705946</v>
      </c>
      <c r="P18" s="22">
        <f t="shared" ref="P18:P26" ca="1" si="13">IF(M18&gt;0,N18*100/M18,0)</f>
        <v>67.092559300470725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3768875</v>
      </c>
      <c r="M20" s="30">
        <f t="shared" ca="1" si="15"/>
        <v>3102669.3</v>
      </c>
      <c r="N20" s="30">
        <f t="shared" ca="1" si="15"/>
        <v>2081660.24</v>
      </c>
      <c r="O20" s="29">
        <f t="shared" ca="1" si="12"/>
        <v>55.232933965705946</v>
      </c>
      <c r="P20" s="29">
        <f t="shared" ca="1" si="13"/>
        <v>67.092559300470725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3377075</v>
      </c>
      <c r="M22" s="42">
        <f t="shared" ca="1" si="18"/>
        <v>2710869.3</v>
      </c>
      <c r="N22" s="39">
        <f t="shared" ca="1" si="18"/>
        <v>1689860.24</v>
      </c>
      <c r="O22" s="39">
        <f t="shared" ca="1" si="17"/>
        <v>50.039168215097384</v>
      </c>
      <c r="P22" s="39">
        <f t="shared" ca="1" si="13"/>
        <v>62.336470445107778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1732200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1644875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2546235.5</v>
      </c>
      <c r="M28" s="23">
        <f t="shared" si="23"/>
        <v>0</v>
      </c>
      <c r="N28" s="23">
        <f t="shared" ca="1" si="23"/>
        <v>776740.78999999899</v>
      </c>
      <c r="O28" s="22">
        <f t="shared" ref="O28:O30" ca="1" si="24">IF(L28&gt;0,N28*100/L28,0)</f>
        <v>30.50545756667044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2546235.5</v>
      </c>
      <c r="M30" s="30">
        <f t="shared" si="27"/>
        <v>0</v>
      </c>
      <c r="N30" s="30">
        <f t="shared" ca="1" si="27"/>
        <v>776740.78999999899</v>
      </c>
      <c r="O30" s="29">
        <f t="shared" ca="1" si="24"/>
        <v>30.50545756667044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2546235.5</v>
      </c>
      <c r="M32" s="39">
        <f t="shared" si="30"/>
        <v>0</v>
      </c>
      <c r="N32" s="39">
        <f t="shared" ca="1" si="30"/>
        <v>776740.78999999899</v>
      </c>
      <c r="O32" s="39">
        <f t="shared" ca="1" si="29"/>
        <v>30.50545756667044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2546235.5</v>
      </c>
      <c r="M34" s="39">
        <f t="shared" si="32"/>
        <v>0</v>
      </c>
      <c r="N34" s="39">
        <f t="shared" ca="1" si="32"/>
        <v>776740.78999999899</v>
      </c>
      <c r="O34" s="39">
        <f t="shared" ca="1" si="29"/>
        <v>30.50545756667044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3768875</v>
      </c>
      <c r="M37" s="55">
        <f t="shared" ca="1" si="33"/>
        <v>3102669.3</v>
      </c>
      <c r="N37" s="55">
        <f t="shared" ca="1" si="33"/>
        <v>2081660.24</v>
      </c>
      <c r="O37" s="56">
        <f t="shared" ca="1" si="29"/>
        <v>55.232933965705946</v>
      </c>
      <c r="P37" s="56">
        <f t="shared" ca="1" si="25"/>
        <v>67.092559300470725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656800</v>
      </c>
      <c r="N41" s="79">
        <f t="shared" ca="1" si="34"/>
        <v>486292.28</v>
      </c>
      <c r="O41" s="78">
        <f t="shared" ref="O41:O43" ca="1" si="35">IF(L41&gt;0,N41*100/L41,0)</f>
        <v>59.910346187014909</v>
      </c>
      <c r="P41" s="78">
        <f t="shared" ref="P41:P43" ca="1" si="36">IF(M41&gt;0,N41*100/M41,0)</f>
        <v>74.039628501827039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656800</v>
      </c>
      <c r="N43" s="79">
        <f t="shared" ca="1" si="38"/>
        <v>486292.28</v>
      </c>
      <c r="O43" s="78">
        <f t="shared" ca="1" si="35"/>
        <v>59.910346187014909</v>
      </c>
      <c r="P43" s="78">
        <f t="shared" ca="1" si="36"/>
        <v>74.039628501827039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IFERROR(__xludf.DUMMYFUNCTION("IMPORTRANGE(""https://docs.google.com/spreadsheets/d/1Yj_ptqi66GCucihVvJfMjLAmec39IyEx_6qawtMGysU/edit?usp=sharing"",""สบก!Q26"")"),464800)</f>
        <v>464800</v>
      </c>
      <c r="N45" s="50">
        <f ca="1">IFERROR(__xludf.DUMMYFUNCTION("IMPORTRANGE(""https://docs.google.com/spreadsheets/d/1Yj_ptqi66GCucihVvJfMjLAmec39IyEx_6qawtMGysU/edit?usp=sharing"",""สบก!R26"")"),294292.28)</f>
        <v>294292.28000000003</v>
      </c>
      <c r="O45" s="39">
        <f ca="1">IF(L45&gt;0,N45*100/L45,0)</f>
        <v>47.489475552686791</v>
      </c>
      <c r="P45" s="39">
        <f ca="1">IF(M45&gt;0,N45*100/M45,0)</f>
        <v>63.315895008605857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456000</v>
      </c>
      <c r="M53" s="121">
        <f t="shared" ca="1" si="39"/>
        <v>363649.3</v>
      </c>
      <c r="N53" s="121">
        <f t="shared" ca="1" si="39"/>
        <v>262230</v>
      </c>
      <c r="O53" s="120">
        <f t="shared" ref="O53:O55" ca="1" si="40">IF(L53&gt;0,N53*100/L53,0)</f>
        <v>57.506578947368418</v>
      </c>
      <c r="P53" s="120">
        <f t="shared" ref="P53:P55" ca="1" si="41">IF(M53&gt;0,N53*100/M53,0)</f>
        <v>72.11068466239314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456000</v>
      </c>
      <c r="M55" s="121">
        <f t="shared" ca="1" si="43"/>
        <v>363649.3</v>
      </c>
      <c r="N55" s="121">
        <f t="shared" ca="1" si="43"/>
        <v>262230</v>
      </c>
      <c r="O55" s="120">
        <f t="shared" ca="1" si="40"/>
        <v>57.506578947368418</v>
      </c>
      <c r="P55" s="120">
        <f t="shared" ca="1" si="41"/>
        <v>72.11068466239314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456000</v>
      </c>
      <c r="M57" s="50">
        <f ca="1">IFERROR(__xludf.DUMMYFUNCTION("IMPORTRANGE(""https://docs.google.com/spreadsheets/d/1Yj_ptqi66GCucihVvJfMjLAmec39IyEx_6qawtMGysU/edit?usp=sharing"",""สบก!Z26"")"),363649.3)</f>
        <v>363649.3</v>
      </c>
      <c r="N57" s="50">
        <f ca="1">IFERROR(__xludf.DUMMYFUNCTION("IMPORTRANGE(""https://docs.google.com/spreadsheets/d/1Yj_ptqi66GCucihVvJfMjLAmec39IyEx_6qawtMGysU/edit?usp=sharing"",""สบก!AA26"")"),262230)</f>
        <v>262230</v>
      </c>
      <c r="O57" s="39">
        <f ca="1">IF(L57&gt;0,N57*100/L57,0)</f>
        <v>57.506578947368418</v>
      </c>
      <c r="P57" s="39">
        <f ca="1">IF(M57&gt;0,N57*100/M57,0)</f>
        <v>72.11068466239314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IFERROR(__xludf.DUMMYFUNCTION("IMPORTRANGE(""https://docs.google.com/spreadsheets/d/1Yj_ptqi66GCucihVvJfMjLAmec39IyEx_6qawtMGysU/edit?usp=sharing"",""สบก!V26"")"),456000)</f>
        <v>456000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382000</v>
      </c>
      <c r="M66" s="152">
        <f t="shared" ca="1" si="45"/>
        <v>338620</v>
      </c>
      <c r="N66" s="152">
        <f t="shared" ca="1" si="45"/>
        <v>111538.74</v>
      </c>
      <c r="O66" s="151">
        <f t="shared" ref="O66:O68" ca="1" si="46">IF(L66&gt;0,N66*100/L66,0)</f>
        <v>29.198623036649213</v>
      </c>
      <c r="P66" s="151">
        <f t="shared" ref="P66:P68" ca="1" si="47">IF(M66&gt;0,N66*100/M66,0)</f>
        <v>32.939206189829306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382000</v>
      </c>
      <c r="M68" s="88">
        <f t="shared" ca="1" si="49"/>
        <v>338620</v>
      </c>
      <c r="N68" s="88">
        <f t="shared" ca="1" si="49"/>
        <v>111538.74</v>
      </c>
      <c r="O68" s="156">
        <f t="shared" ca="1" si="46"/>
        <v>29.198623036649213</v>
      </c>
      <c r="P68" s="156">
        <f t="shared" ca="1" si="47"/>
        <v>32.939206189829306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IFERROR(__xludf.DUMMYFUNCTION("IMPORTRANGE(""https://docs.google.com/spreadsheets/d/1Yj_ptqi66GCucihVvJfMjLAmec39IyEx_6qawtMGysU/edit?usp=sharing"",""สบก!AI26"")"),338620)</f>
        <v>338620</v>
      </c>
      <c r="N70" s="168">
        <f ca="1">IFERROR(__xludf.DUMMYFUNCTION("IMPORTRANGE(""https://docs.google.com/spreadsheets/d/1Yj_ptqi66GCucihVvJfMjLAmec39IyEx_6qawtMGysU/edit?usp=sharing"",""สบก!AJ26"")"),111538.74)</f>
        <v>111538.74</v>
      </c>
      <c r="O70" s="168">
        <f ca="1">IF(L70&gt;0,N70*100/L70,0)</f>
        <v>29.198623036649213</v>
      </c>
      <c r="P70" s="168">
        <f ca="1">IF(M70&gt;0,N70*100/M70,0)</f>
        <v>32.939206189829306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IFERROR(__xludf.DUMMYFUNCTION("IMPORTRANGE(""https://docs.google.com/spreadsheets/d/11923uPwbBZFjjGgGUA6NLw09EwE0CqkOc4q9oUmW1yo/edit?usp=sharing"",""พะเยา!I28"")"),30)</f>
        <v>30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254715</v>
      </c>
      <c r="O94" s="151">
        <f t="shared" ref="O94:O96" ca="1" si="53">IF(L94&gt;0,N94*100/L94,0)</f>
        <v>79.857975921745677</v>
      </c>
      <c r="P94" s="151">
        <f t="shared" ref="P94:P96" ca="1" si="54">IF(M94&gt;0,N94*100/M94,0)</f>
        <v>79.857975921745677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254715</v>
      </c>
      <c r="O96" s="156">
        <f t="shared" ca="1" si="53"/>
        <v>79.857975921745677</v>
      </c>
      <c r="P96" s="156">
        <f t="shared" ca="1" si="54"/>
        <v>79.857975921745677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IFERROR(__xludf.DUMMYFUNCTION("IMPORTRANGE(""https://docs.google.com/spreadsheets/d/1Yj_ptqi66GCucihVvJfMjLAmec39IyEx_6qawtMGysU/edit?usp=sharing"",""สบก!AR26"")"),134160)</f>
        <v>134160</v>
      </c>
      <c r="N98" s="168">
        <f ca="1">IFERROR(__xludf.DUMMYFUNCTION("IMPORTRANGE(""https://docs.google.com/spreadsheets/d/1Yj_ptqi66GCucihVvJfMjLAmec39IyEx_6qawtMGysU/edit?usp=sharing"",""สบก!AS26"")"),69915)</f>
        <v>69915</v>
      </c>
      <c r="O98" s="168">
        <f ca="1">IF(L98&gt;0,N98*100/L98,0)</f>
        <v>52.113148479427551</v>
      </c>
      <c r="P98" s="168">
        <f ca="1">IF(M98&gt;0,N98*100/M98,0)</f>
        <v>52.113148479427551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3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IFERROR(__xludf.DUMMYFUNCTION("IMPORTRANGE(""https://docs.google.com/spreadsheets/d/11923uPwbBZFjjGgGUA6NLw09EwE0CqkOc4q9oUmW1yo/edit?usp=sharing"",""พะเยา!J50"")"),0)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38876</v>
      </c>
      <c r="O118" s="151">
        <f t="shared" ref="O118:O120" ca="1" si="59">IF(L118&gt;0,N118*100/L118,0)</f>
        <v>47.156720038816111</v>
      </c>
      <c r="P118" s="151">
        <f t="shared" ref="P118:P120" ca="1" si="60">IF(M118&gt;0,N118*100/M118,0)</f>
        <v>47.156720038816111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38876</v>
      </c>
      <c r="O120" s="156">
        <f t="shared" ca="1" si="59"/>
        <v>47.156720038816111</v>
      </c>
      <c r="P120" s="156">
        <f t="shared" ca="1" si="60"/>
        <v>47.156720038816111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IFERROR(__xludf.DUMMYFUNCTION("IMPORTRANGE(""https://docs.google.com/spreadsheets/d/1Yj_ptqi66GCucihVvJfMjLAmec39IyEx_6qawtMGysU/edit?usp=sharing"",""สบก!BA26"")"),82440)</f>
        <v>82440</v>
      </c>
      <c r="N122" s="168">
        <f ca="1">IFERROR(__xludf.DUMMYFUNCTION("IMPORTRANGE(""https://docs.google.com/spreadsheets/d/1Yj_ptqi66GCucihVvJfMjLAmec39IyEx_6qawtMGysU/edit?usp=sharing"",""สบก!BB26"")"),38876)</f>
        <v>38876</v>
      </c>
      <c r="O122" s="168">
        <f ca="1">IF(L122&gt;0,N122*100/L122,0)</f>
        <v>47.156720038816111</v>
      </c>
      <c r="P122" s="168">
        <f ca="1">IF(M122&gt;0,N122*100/M122,0)</f>
        <v>47.156720038816111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IFERROR(__xludf.DUMMYFUNCTION("IMPORTRANGE(""https://docs.google.com/spreadsheets/d/1Yj_ptqi66GCucihVvJfMjLAmec39IyEx_6qawtMGysU/edit?usp=sharing"",""สบก!AX26"")"),82440)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251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IFERROR(__xludf.DUMMYFUNCTION("IMPORTRANGE(""https://docs.google.com/spreadsheets/d/11923uPwbBZFjjGgGUA6NLw09EwE0CqkOc4q9oUmW1yo/edit?usp=sharing"",""พะเยา!J65"")"),0)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IFERROR(__xludf.DUMMYFUNCTION("IMPORTRANGE(""https://docs.google.com/spreadsheets/d/11923uPwbBZFjjGgGUA6NLw09EwE0CqkOc4q9oUmW1yo/edit?usp=sharing"",""พะเยา!I68"")"),55)</f>
        <v>55</v>
      </c>
      <c r="J138" s="266">
        <f ca="1">IFERROR(__xludf.DUMMYFUNCTION("IMPORTRANGE(""https://docs.google.com/spreadsheets/d/11923uPwbBZFjjGgGUA6NLw09EwE0CqkOc4q9oUmW1yo/edit?usp=sharing"",""พะเยา!J68"")"),55)</f>
        <v>55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828600</v>
      </c>
      <c r="M140" s="152">
        <f t="shared" ca="1" si="64"/>
        <v>667225</v>
      </c>
      <c r="N140" s="152">
        <f t="shared" ca="1" si="64"/>
        <v>466068.52</v>
      </c>
      <c r="O140" s="151">
        <f t="shared" ref="O140:O142" ca="1" si="65">IF(L140&gt;0,N140*100/L140,0)</f>
        <v>56.247709389331405</v>
      </c>
      <c r="P140" s="151">
        <f t="shared" ref="P140:P142" ca="1" si="66">IF(M140&gt;0,N140*100/M140,0)</f>
        <v>69.851777136648053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828600</v>
      </c>
      <c r="M142" s="88">
        <f t="shared" ca="1" si="68"/>
        <v>667225</v>
      </c>
      <c r="N142" s="88">
        <f t="shared" ca="1" si="68"/>
        <v>466068.52</v>
      </c>
      <c r="O142" s="156">
        <f t="shared" ca="1" si="65"/>
        <v>56.247709389331405</v>
      </c>
      <c r="P142" s="156">
        <f t="shared" ca="1" si="66"/>
        <v>69.851777136648053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828600</v>
      </c>
      <c r="M144" s="167">
        <f ca="1">IFERROR(__xludf.DUMMYFUNCTION("IMPORTRANGE(""https://docs.google.com/spreadsheets/d/1Yj_ptqi66GCucihVvJfMjLAmec39IyEx_6qawtMGysU/edit?usp=sharing"",""สบก!BJ26"")"),667225)</f>
        <v>667225</v>
      </c>
      <c r="N144" s="168">
        <f ca="1">IFERROR(__xludf.DUMMYFUNCTION("IMPORTRANGE(""https://docs.google.com/spreadsheets/d/1Yj_ptqi66GCucihVvJfMjLAmec39IyEx_6qawtMGysU/edit?usp=sharing"",""สบก!BK26"")"),466068.52)</f>
        <v>466068.52</v>
      </c>
      <c r="O144" s="168">
        <f ca="1">IF(L144&gt;0,N144*100/L144,0)</f>
        <v>56.247709389331405</v>
      </c>
      <c r="P144" s="168">
        <f ca="1">IF(M144&gt;0,N144*100/M144,0)</f>
        <v>69.851777136648053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IFERROR(__xludf.DUMMYFUNCTION("IMPORTRANGE(""https://docs.google.com/spreadsheets/d/1Yj_ptqi66GCucihVvJfMjLAmec39IyEx_6qawtMGysU/edit?usp=sharing"",""สบก!BG26"")"),366500)</f>
        <v>366500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IFERROR(__xludf.DUMMYFUNCTION("IMPORTRANGE(""https://docs.google.com/spreadsheets/d/11923uPwbBZFjjGgGUA6NLw09EwE0CqkOc4q9oUmW1yo/edit?usp=sharing"",""พะเยา!I74"")"),4)</f>
        <v>4</v>
      </c>
      <c r="J149" s="274">
        <f ca="1">IFERROR(__xludf.DUMMYFUNCTION("IMPORTRANGE(""https://docs.google.com/spreadsheets/d/11923uPwbBZFjjGgGUA6NLw09EwE0CqkOc4q9oUmW1yo/edit?usp=sharing"",""พะเยา!J74"")"),2)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IFERROR(__xludf.DUMMYFUNCTION("IMPORTRANGE(""https://docs.google.com/spreadsheets/d/11923uPwbBZFjjGgGUA6NLw09EwE0CqkOc4q9oUmW1yo/edit?usp=sharing"",""พะเยา!J84"")"),120)</f>
        <v>120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IFERROR(__xludf.DUMMYFUNCTION("IMPORTRANGE(""https://docs.google.com/spreadsheets/d/11923uPwbBZFjjGgGUA6NLw09EwE0CqkOc4q9oUmW1yo/edit?usp=sharing"",""พะเยา!J85"")"),120)</f>
        <v>120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IFERROR(__xludf.DUMMYFUNCTION("IMPORTRANGE(""https://docs.google.com/spreadsheets/d/11923uPwbBZFjjGgGUA6NLw09EwE0CqkOc4q9oUmW1yo/edit?usp=sharing"",""พะเยา!I89"")"),2)</f>
        <v>2</v>
      </c>
      <c r="J164" s="283">
        <f ca="1">IFERROR(__xludf.DUMMYFUNCTION("IMPORTRANGE(""https://docs.google.com/spreadsheets/d/11923uPwbBZFjjGgGUA6NLw09EwE0CqkOc4q9oUmW1yo/edit?usp=sharing"",""พะเยา!J89"")"),2)</f>
        <v>2</v>
      </c>
      <c r="K164" s="284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IFERROR(__xludf.DUMMYFUNCTION("IMPORTRANGE(""https://docs.google.com/spreadsheets/d/11923uPwbBZFjjGgGUA6NLw09EwE0CqkOc4q9oUmW1yo/edit?usp=sharing"",""พะเยา!J100"")"),0)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IFERROR(__xludf.DUMMYFUNCTION("IMPORTRANGE(""https://docs.google.com/spreadsheets/d/11923uPwbBZFjjGgGUA6NLw09EwE0CqkOc4q9oUmW1yo/edit?usp=sharing"",""พะเยา!I101"")"),0)</f>
        <v>0</v>
      </c>
      <c r="J176" s="283">
        <f ca="1">IFERROR(__xludf.DUMMYFUNCTION("IMPORTRANGE(""https://docs.google.com/spreadsheets/d/11923uPwbBZFjjGgGUA6NLw09EwE0CqkOc4q9oUmW1yo/edit?usp=sharing"",""พะเยา!J101"")"),0)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IFERROR(__xludf.DUMMYFUNCTION("IMPORTRANGE(""https://docs.google.com/spreadsheets/d/11923uPwbBZFjjGgGUA6NLw09EwE0CqkOc4q9oUmW1yo/edit?usp=sharing"",""พะเยา!J113"")"),0)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IFERROR(__xludf.DUMMYFUNCTION("IMPORTRANGE(""https://docs.google.com/spreadsheets/d/11923uPwbBZFjjGgGUA6NLw09EwE0CqkOc4q9oUmW1yo/edit?usp=sharing"",""พะเยา!I114"")"),20000)</f>
        <v>20000</v>
      </c>
      <c r="J189" s="283">
        <f ca="1">IFERROR(__xludf.DUMMYFUNCTION("IMPORTRANGE(""https://docs.google.com/spreadsheets/d/11923uPwbBZFjjGgGUA6NLw09EwE0CqkOc4q9oUmW1yo/edit?usp=sharing"",""พะเยา!J114"")"),0)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IFERROR(__xludf.DUMMYFUNCTION("IMPORTRANGE(""https://docs.google.com/spreadsheets/d/11923uPwbBZFjjGgGUA6NLw09EwE0CqkOc4q9oUmW1yo/edit?usp=sharing"",""พะเยา!J128"")"),0)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IFERROR(__xludf.DUMMYFUNCTION("IMPORTRANGE(""https://docs.google.com/spreadsheets/d/11923uPwbBZFjjGgGUA6NLw09EwE0CqkOc4q9oUmW1yo/edit?usp=sharing"",""พะเยา!I129"")"),40)</f>
        <v>40</v>
      </c>
      <c r="J204" s="283">
        <f ca="1">IFERROR(__xludf.DUMMYFUNCTION("IMPORTRANGE(""https://docs.google.com/spreadsheets/d/11923uPwbBZFjjGgGUA6NLw09EwE0CqkOc4q9oUmW1yo/edit?usp=sharing"",""พะเยา!J129"")"),40)</f>
        <v>40</v>
      </c>
      <c r="K204" s="284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IFERROR(__xludf.DUMMYFUNCTION("IMPORTRANGE(""https://docs.google.com/spreadsheets/d/11923uPwbBZFjjGgGUA6NLw09EwE0CqkOc4q9oUmW1yo/edit?usp=sharing"",""พะเยา!J143"")"),0)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IFERROR(__xludf.DUMMYFUNCTION("IMPORTRANGE(""https://docs.google.com/spreadsheets/d/11923uPwbBZFjjGgGUA6NLw09EwE0CqkOc4q9oUmW1yo/edit?usp=sharing"",""พะเยา!I144"")"),15)</f>
        <v>15</v>
      </c>
      <c r="J219" s="266">
        <f ca="1">IFERROR(__xludf.DUMMYFUNCTION("IMPORTRANGE(""https://docs.google.com/spreadsheets/d/11923uPwbBZFjjGgGUA6NLw09EwE0CqkOc4q9oUmW1yo/edit?usp=sharing"",""พะเยา!J144"")"),15)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IFERROR(__xludf.DUMMYFUNCTION("IMPORTRANGE(""https://docs.google.com/spreadsheets/d/11923uPwbBZFjjGgGUA6NLw09EwE0CqkOc4q9oUmW1yo/edit?usp=sharing"",""พะเยา!I149"")"),15)</f>
        <v>15</v>
      </c>
      <c r="J229" s="266">
        <f ca="1">IFERROR(__xludf.DUMMYFUNCTION("IMPORTRANGE(""https://docs.google.com/spreadsheets/d/11923uPwbBZFjjGgGUA6NLw09EwE0CqkOc4q9oUmW1yo/edit?usp=sharing"",""พะเยา!J149"")"),15)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IFERROR(__xludf.DUMMYFUNCTION("IMPORTRANGE(""https://docs.google.com/spreadsheets/d/11923uPwbBZFjjGgGUA6NLw09EwE0CqkOc4q9oUmW1yo/edit?usp=sharing"",""พะเยา!I158"")"),0)</f>
        <v>0</v>
      </c>
      <c r="J238" s="266">
        <f ca="1">IFERROR(__xludf.DUMMYFUNCTION("IMPORTRANGE(""https://docs.google.com/spreadsheets/d/11923uPwbBZFjjGgGUA6NLw09EwE0CqkOc4q9oUmW1yo/edit?usp=sharing"",""พะเยา!J158"")"),0)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IFERROR(__xludf.DUMMYFUNCTION("IMPORTRANGE(""https://docs.google.com/spreadsheets/d/11923uPwbBZFjjGgGUA6NLw09EwE0CqkOc4q9oUmW1yo/edit?usp=sharing"",""พะเยา!J166"")"),0)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IFERROR(__xludf.DUMMYFUNCTION("IMPORTRANGE(""https://docs.google.com/spreadsheets/d/11923uPwbBZFjjGgGUA6NLw09EwE0CqkOc4q9oUmW1yo/edit?usp=sharing"",""พะเยา!I169"")"),20)</f>
        <v>20</v>
      </c>
      <c r="J249" s="315">
        <f ca="1">IFERROR(__xludf.DUMMYFUNCTION("IMPORTRANGE(""https://docs.google.com/spreadsheets/d/11923uPwbBZFjjGgGUA6NLw09EwE0CqkOc4q9oUmW1yo/edit?usp=sharing"",""พะเยา!J169"")"),20)</f>
        <v>20</v>
      </c>
      <c r="K249" s="316">
        <f ca="1">IF(I249&gt;0,J249*100/I249,0)</f>
        <v>100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24274</v>
      </c>
      <c r="O250" s="151">
        <f t="shared" ref="O250:O252" ca="1" si="78">IF(L250&gt;0,N250*100/L250,0)</f>
        <v>33.997198879551817</v>
      </c>
      <c r="P250" s="151">
        <f t="shared" ref="P250:P252" ca="1" si="79">IF(M250&gt;0,N250*100/M250,0)</f>
        <v>57.795238095238098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42000</v>
      </c>
      <c r="N252" s="88">
        <f t="shared" ca="1" si="81"/>
        <v>24274</v>
      </c>
      <c r="O252" s="156">
        <f t="shared" ca="1" si="78"/>
        <v>33.997198879551817</v>
      </c>
      <c r="P252" s="156">
        <f t="shared" ca="1" si="79"/>
        <v>57.795238095238098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IFERROR(__xludf.DUMMYFUNCTION("IMPORTRANGE(""https://docs.google.com/spreadsheets/d/1Yj_ptqi66GCucihVvJfMjLAmec39IyEx_6qawtMGysU/edit?usp=sharing"",""สบก!CB26"")"),42000)</f>
        <v>42000</v>
      </c>
      <c r="N254" s="168">
        <f ca="1">IFERROR(__xludf.DUMMYFUNCTION("IMPORTRANGE(""https://docs.google.com/spreadsheets/d/1Yj_ptqi66GCucihVvJfMjLAmec39IyEx_6qawtMGysU/edit?usp=sharing"",""สบก!CC26"")"),24274)</f>
        <v>24274</v>
      </c>
      <c r="O254" s="168">
        <f ca="1">IF(L254&gt;0,N254*100/L254,0)</f>
        <v>33.997198879551817</v>
      </c>
      <c r="P254" s="168">
        <f ca="1">IF(M254&gt;0,N254*100/M254,0)</f>
        <v>57.795238095238098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IFERROR(__xludf.DUMMYFUNCTION("IMPORTRANGE(""https://docs.google.com/spreadsheets/d/11923uPwbBZFjjGgGUA6NLw09EwE0CqkOc4q9oUmW1yo/edit?usp=sharing"",""พะเยา!J184"")"),0)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IFERROR(__xludf.DUMMYFUNCTION("IMPORTRANGE(""https://docs.google.com/spreadsheets/d/11923uPwbBZFjjGgGUA6NLw09EwE0CqkOc4q9oUmW1yo/edit?usp=sharing"",""พะเยา!I185"")"),20)</f>
        <v>20</v>
      </c>
      <c r="J270" s="315">
        <f ca="1">IFERROR(__xludf.DUMMYFUNCTION("IMPORTRANGE(""https://docs.google.com/spreadsheets/d/11923uPwbBZFjjGgGUA6NLw09EwE0CqkOc4q9oUmW1yo/edit?usp=sharing"",""พะเยา!J185"")"),20)</f>
        <v>20</v>
      </c>
      <c r="K270" s="316">
        <f ca="1">IF(I270&gt;0,J270*100/I270,0)</f>
        <v>100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100199</v>
      </c>
      <c r="O271" s="151">
        <f t="shared" ref="O271:O273" ca="1" si="84">IF(L271&gt;0,N271*100/L271,0)</f>
        <v>54.574618736383442</v>
      </c>
      <c r="P271" s="151">
        <f t="shared" ref="P271:P273" ca="1" si="85">IF(M271&gt;0,N271*100/M271,0)</f>
        <v>62.004331683168317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161600</v>
      </c>
      <c r="N273" s="88">
        <f t="shared" ca="1" si="87"/>
        <v>100199</v>
      </c>
      <c r="O273" s="156">
        <f t="shared" ca="1" si="84"/>
        <v>54.574618736383442</v>
      </c>
      <c r="P273" s="156">
        <f t="shared" ca="1" si="85"/>
        <v>62.004331683168317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IFERROR(__xludf.DUMMYFUNCTION("IMPORTRANGE(""https://docs.google.com/spreadsheets/d/1Yj_ptqi66GCucihVvJfMjLAmec39IyEx_6qawtMGysU/edit?usp=sharing"",""สบก!CK26"")"),161600)</f>
        <v>161600</v>
      </c>
      <c r="N275" s="168">
        <f ca="1">IFERROR(__xludf.DUMMYFUNCTION("IMPORTRANGE(""https://docs.google.com/spreadsheets/d/1Yj_ptqi66GCucihVvJfMjLAmec39IyEx_6qawtMGysU/edit?usp=sharing"",""สบก!CL26"")"),100199)</f>
        <v>100199</v>
      </c>
      <c r="O275" s="168">
        <f ca="1">IF(L275&gt;0,N275*100/L275,0)</f>
        <v>54.574618736383442</v>
      </c>
      <c r="P275" s="168">
        <f ca="1">IF(M275&gt;0,N275*100/M275,0)</f>
        <v>62.004331683168317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IFERROR(__xludf.DUMMYFUNCTION("IMPORTRANGE(""https://docs.google.com/spreadsheets/d/11923uPwbBZFjjGgGUA6NLw09EwE0CqkOc4q9oUmW1yo/edit?usp=sharing"",""พะเยา!I199"")"),0)</f>
        <v>0</v>
      </c>
      <c r="J289" s="315">
        <f ca="1">IFERROR(__xludf.DUMMYFUNCTION("IMPORTRANGE(""https://docs.google.com/spreadsheets/d/11923uPwbBZFjjGgGUA6NLw09EwE0CqkOc4q9oUmW1yo/edit?usp=sharing"",""พะเยา!J199"")"),0)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IFERROR(__xludf.DUMMYFUNCTION("IMPORTRANGE(""https://docs.google.com/spreadsheets/d/11923uPwbBZFjjGgGUA6NLw09EwE0CqkOc4q9oUmW1yo/edit?usp=sharing"",""พะเยา!J213"")"),0)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IFERROR(__xludf.DUMMYFUNCTION("IMPORTRANGE(""https://docs.google.com/spreadsheets/d/11923uPwbBZFjjGgGUA6NLw09EwE0CqkOc4q9oUmW1yo/edit?usp=sharing"",""พะเยา!I214"")"),0)</f>
        <v>0</v>
      </c>
      <c r="J309" s="332">
        <f ca="1">IFERROR(__xludf.DUMMYFUNCTION("IMPORTRANGE(""https://docs.google.com/spreadsheets/d/11923uPwbBZFjjGgGUA6NLw09EwE0CqkOc4q9oUmW1yo/edit?usp=sharing"",""พะเยา!J214"")"),0)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IFERROR(__xludf.DUMMYFUNCTION("IMPORTRANGE(""https://docs.google.com/spreadsheets/d/11923uPwbBZFjjGgGUA6NLw09EwE0CqkOc4q9oUmW1yo/edit?usp=sharing"",""พะเยา!J226"")"),0)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IFERROR(__xludf.DUMMYFUNCTION("IMPORTRANGE(""https://docs.google.com/spreadsheets/d/11923uPwbBZFjjGgGUA6NLw09EwE0CqkOc4q9oUmW1yo/edit?usp=sharing"",""พะเยา!I228"")"),580)</f>
        <v>580</v>
      </c>
      <c r="J328" s="338">
        <f ca="1">IFERROR(__xludf.DUMMYFUNCTION("IMPORTRANGE(""https://docs.google.com/spreadsheets/d/11923uPwbBZFjjGgGUA6NLw09EwE0CqkOc4q9oUmW1yo/edit?usp=sharing"",""พะเยา!J228"")"),300)</f>
        <v>300</v>
      </c>
      <c r="K328" s="316">
        <f ca="1">IF(I328&gt;0,J328*100/I328,0)</f>
        <v>51.724137931034484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450250</v>
      </c>
      <c r="N329" s="152">
        <f t="shared" ca="1" si="98"/>
        <v>316341.7</v>
      </c>
      <c r="O329" s="151">
        <f t="shared" ref="O329:O331" ca="1" si="99">IF(L329&gt;0,N329*100/L329,0)</f>
        <v>51.601288638773347</v>
      </c>
      <c r="P329" s="151">
        <f t="shared" ref="P329:P331" ca="1" si="100">IF(M329&gt;0,N329*100/M329,0)</f>
        <v>70.259122709605776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450250</v>
      </c>
      <c r="N331" s="88">
        <f t="shared" ca="1" si="102"/>
        <v>316341.7</v>
      </c>
      <c r="O331" s="156">
        <f t="shared" ca="1" si="99"/>
        <v>51.601288638773347</v>
      </c>
      <c r="P331" s="156">
        <f t="shared" ca="1" si="100"/>
        <v>70.259122709605776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IFERROR(__xludf.DUMMYFUNCTION("IMPORTRANGE(""https://docs.google.com/spreadsheets/d/1Yj_ptqi66GCucihVvJfMjLAmec39IyEx_6qawtMGysU/edit?usp=sharing"",""สบก!DL26"")"),435250)</f>
        <v>435250</v>
      </c>
      <c r="N333" s="168">
        <f ca="1">IFERROR(__xludf.DUMMYFUNCTION("IMPORTRANGE(""https://docs.google.com/spreadsheets/d/1Yj_ptqi66GCucihVvJfMjLAmec39IyEx_6qawtMGysU/edit?usp=sharing"",""สบก!DM26"")"),301341.7)</f>
        <v>301341.7</v>
      </c>
      <c r="O333" s="168">
        <f ca="1">IF(L333&gt;0,N333*100/L333,0)</f>
        <v>50.387375637488503</v>
      </c>
      <c r="P333" s="168">
        <f ca="1">IF(M333&gt;0,N333*100/M333,0)</f>
        <v>69.234164273406094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IFERROR(__xludf.DUMMYFUNCTION("IMPORTRANGE(""https://docs.google.com/spreadsheets/d/11923uPwbBZFjjGgGUA6NLw09EwE0CqkOc4q9oUmW1yo/edit?usp=sharing"",""พะเยา!J234"")"),123)</f>
        <v>123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IFERROR(__xludf.DUMMYFUNCTION("IMPORTRANGE(""https://docs.google.com/spreadsheets/d/11923uPwbBZFjjGgGUA6NLw09EwE0CqkOc4q9oUmW1yo/edit?usp=sharing"",""พะเยา!J235"")"),879.98)</f>
        <v>879.98</v>
      </c>
      <c r="K340" s="341">
        <f t="shared" ca="1" si="103"/>
        <v>43.999000000000002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IFERROR(__xludf.DUMMYFUNCTION("IMPORTRANGE(""https://docs.google.com/spreadsheets/d/11923uPwbBZFjjGgGUA6NLw09EwE0CqkOc4q9oUmW1yo/edit?usp=sharing"",""พะเยา!J236"")"),316)</f>
        <v>316</v>
      </c>
      <c r="K341" s="341">
        <f t="shared" ca="1" si="103"/>
        <v>54.482758620689658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IFERROR(__xludf.DUMMYFUNCTION("IMPORTRANGE(""https://docs.google.com/spreadsheets/d/11923uPwbBZFjjGgGUA6NLw09EwE0CqkOc4q9oUmW1yo/edit?usp=sharing"",""พะเยา!J237"")"),2398.81)</f>
        <v>2398.81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IFERROR(__xludf.DUMMYFUNCTION("IMPORTRANGE(""https://docs.google.com/spreadsheets/d/11923uPwbBZFjjGgGUA6NLw09EwE0CqkOc4q9oUmW1yo/edit?usp=sharing"",""พะเยา!J240"")"),300)</f>
        <v>300</v>
      </c>
      <c r="K345" s="341">
        <f t="shared" ca="1" si="103"/>
        <v>51.724137931034484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IFERROR(__xludf.DUMMYFUNCTION("IMPORTRANGE(""https://docs.google.com/spreadsheets/d/11923uPwbBZFjjGgGUA6NLw09EwE0CqkOc4q9oUmW1yo/edit?usp=sharing"",""พะเยา!J241"")"),2169.6)</f>
        <v>2169.6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IFERROR(__xludf.DUMMYFUNCTION("IMPORTRANGE(""https://docs.google.com/spreadsheets/d/11923uPwbBZFjjGgGUA6NLw09EwE0CqkOc4q9oUmW1yo/edit?usp=sharing"",""พะเยา!L242"")"),2546235.5)</f>
        <v>2546235.5</v>
      </c>
      <c r="M347" s="357"/>
      <c r="N347" s="357">
        <f ca="1">IFERROR(__xludf.DUMMYFUNCTION("IMPORTRANGE(""https://docs.google.com/spreadsheets/d/11923uPwbBZFjjGgGUA6NLw09EwE0CqkOc4q9oUmW1yo/edit?usp=sharing"",""พะเยา!M242"")"),776740.79)</f>
        <v>776740.79</v>
      </c>
      <c r="O347" s="357">
        <f ca="1">+IF(L347&gt;0,N347*100/L347,0)</f>
        <v>30.505457566670483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IFERROR(__xludf.DUMMYFUNCTION("IMPORTRANGE(""https://docs.google.com/spreadsheets/d/11923uPwbBZFjjGgGUA6NLw09EwE0CqkOc4q9oUmW1yo/edit?usp=sharing"",""พะเยา!M244"")"),107742.739999999)</f>
        <v>107742.739999999</v>
      </c>
      <c r="O349" s="372">
        <f ca="1">+IF(L349&gt;0,N349*100/L349,0)</f>
        <v>29.601280290125555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IFERROR(__xludf.DUMMYFUNCTION("IMPORTRANGE(""https://docs.google.com/spreadsheets/d/11923uPwbBZFjjGgGUA6NLw09EwE0CqkOc4q9oUmW1yo/edit?usp=sharing"",""พะเยา!M247"")"),107742.739999999)</f>
        <v>107742.739999999</v>
      </c>
      <c r="O352" s="165">
        <f t="shared" ca="1" si="105"/>
        <v>29.601280290125555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IFERROR(__xludf.DUMMYFUNCTION("IMPORTRANGE(""https://docs.google.com/spreadsheets/d/11923uPwbBZFjjGgGUA6NLw09EwE0CqkOc4q9oUmW1yo/edit?usp=sharing"",""พะเยา!M249"")"),107742.739999999)</f>
        <v>107742.739999999</v>
      </c>
      <c r="O354" s="168">
        <f t="shared" ca="1" si="105"/>
        <v>29.601280290125555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IFERROR(__xludf.DUMMYFUNCTION("IMPORTRANGE(""https://docs.google.com/spreadsheets/d/11923uPwbBZFjjGgGUA6NLw09EwE0CqkOc4q9oUmW1yo/edit?usp=sharing"",""พะเยา!M250"")"),38200)</f>
        <v>38200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IFERROR(__xludf.DUMMYFUNCTION("IMPORTRANGE(""https://docs.google.com/spreadsheets/d/11923uPwbBZFjjGgGUA6NLw09EwE0CqkOc4q9oUmW1yo/edit?usp=sharing"",""พะเยา!M252"")"),48233.74)</f>
        <v>48233.74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IFERROR(__xludf.DUMMYFUNCTION("IMPORTRANGE(""https://docs.google.com/spreadsheets/d/11923uPwbBZFjjGgGUA6NLw09EwE0CqkOc4q9oUmW1yo/edit?usp=sharing"",""พะเยา!M253"")"),21309)</f>
        <v>21309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IFERROR(__xludf.DUMMYFUNCTION("IMPORTRANGE(""https://docs.google.com/spreadsheets/d/11923uPwbBZFjjGgGUA6NLw09EwE0CqkOc4q9oUmW1yo/edit?usp=sharing"",""พะเยา!M275"")"),177500.2)</f>
        <v>177500.2</v>
      </c>
      <c r="O380" s="372">
        <f ca="1">+IF(L380&gt;0,N380*100/L380,0)</f>
        <v>17.257826780227902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IFERROR(__xludf.DUMMYFUNCTION("IMPORTRANGE(""https://docs.google.com/spreadsheets/d/11923uPwbBZFjjGgGUA6NLw09EwE0CqkOc4q9oUmW1yo/edit?usp=sharing"",""พะเยา!M278"")"),177500.2)</f>
        <v>177500.2</v>
      </c>
      <c r="O383" s="165">
        <f t="shared" ca="1" si="109"/>
        <v>17.257826780227902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IFERROR(__xludf.DUMMYFUNCTION("IMPORTRANGE(""https://docs.google.com/spreadsheets/d/11923uPwbBZFjjGgGUA6NLw09EwE0CqkOc4q9oUmW1yo/edit?usp=sharing"",""พะเยา!M280"")"),177500.2)</f>
        <v>177500.2</v>
      </c>
      <c r="O385" s="168">
        <f t="shared" ca="1" si="109"/>
        <v>17.257826780227902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IFERROR(__xludf.DUMMYFUNCTION("IMPORTRANGE(""https://docs.google.com/spreadsheets/d/11923uPwbBZFjjGgGUA6NLw09EwE0CqkOc4q9oUmW1yo/edit?usp=sharing"",""พะเยา!M281"")"),122055.2)</f>
        <v>122055.2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IFERROR(__xludf.DUMMYFUNCTION("IMPORTRANGE(""https://docs.google.com/spreadsheets/d/11923uPwbBZFjjGgGUA6NLw09EwE0CqkOc4q9oUmW1yo/edit?usp=sharing"",""พะเยา!M283"")"),46905)</f>
        <v>46905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IFERROR(__xludf.DUMMYFUNCTION("IMPORTRANGE(""https://docs.google.com/spreadsheets/d/11923uPwbBZFjjGgGUA6NLw09EwE0CqkOc4q9oUmW1yo/edit?usp=sharing"",""พะเยา!M284"")"),8540)</f>
        <v>8540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IFERROR(__xludf.DUMMYFUNCTION("IMPORTRANGE(""https://docs.google.com/spreadsheets/d/11923uPwbBZFjjGgGUA6NLw09EwE0CqkOc4q9oUmW1yo/edit?usp=sharing"",""พะเยา!M296"")"),153748)</f>
        <v>153748</v>
      </c>
      <c r="O401" s="372">
        <f ca="1">+IF(L401&gt;0,N401*100/L401,0)</f>
        <v>56.541629891144453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IFERROR(__xludf.DUMMYFUNCTION("IMPORTRANGE(""https://docs.google.com/spreadsheets/d/11923uPwbBZFjjGgGUA6NLw09EwE0CqkOc4q9oUmW1yo/edit?usp=sharing"",""พะเยา!M299"")"),153748)</f>
        <v>153748</v>
      </c>
      <c r="O404" s="168">
        <f t="shared" ca="1" si="112"/>
        <v>56.541629891144453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IFERROR(__xludf.DUMMYFUNCTION("IMPORTRANGE(""https://docs.google.com/spreadsheets/d/11923uPwbBZFjjGgGUA6NLw09EwE0CqkOc4q9oUmW1yo/edit?usp=sharing"",""พะเยา!M301"")"),153748)</f>
        <v>153748</v>
      </c>
      <c r="O406" s="168">
        <f t="shared" ca="1" si="112"/>
        <v>56.541629891144453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IFERROR(__xludf.DUMMYFUNCTION("IMPORTRANGE(""https://docs.google.com/spreadsheets/d/11923uPwbBZFjjGgGUA6NLw09EwE0CqkOc4q9oUmW1yo/edit?usp=sharing"",""พะเยา!M302"")"),139968)</f>
        <v>139968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IFERROR(__xludf.DUMMYFUNCTION("IMPORTRANGE(""https://docs.google.com/spreadsheets/d/11923uPwbBZFjjGgGUA6NLw09EwE0CqkOc4q9oUmW1yo/edit?usp=sharing"",""พะเยา!M305"")"),13780)</f>
        <v>13780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IFERROR(__xludf.DUMMYFUNCTION("IMPORTRANGE(""https://docs.google.com/spreadsheets/d/11923uPwbBZFjjGgGUA6NLw09EwE0CqkOc4q9oUmW1yo/edit?usp=sharing"",""พะเยา!M330"")"),76896)</f>
        <v>76896</v>
      </c>
      <c r="O435" s="411">
        <f t="shared" ref="O435:O439" ca="1" si="114">+IF(L435&gt;0,N435*100/L435,0)</f>
        <v>51.264000000000003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IFERROR(__xludf.DUMMYFUNCTION("IMPORTRANGE(""https://docs.google.com/spreadsheets/d/11923uPwbBZFjjGgGUA6NLw09EwE0CqkOc4q9oUmW1yo/edit?usp=sharing"",""พะเยา!M332"")"),76896)</f>
        <v>76896</v>
      </c>
      <c r="O437" s="168">
        <f t="shared" ca="1" si="114"/>
        <v>51.264000000000003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IFERROR(__xludf.DUMMYFUNCTION("IMPORTRANGE(""https://docs.google.com/spreadsheets/d/11923uPwbBZFjjGgGUA6NLw09EwE0CqkOc4q9oUmW1yo/edit?usp=sharing"",""พะเยา!M334"")"),76896)</f>
        <v>76896</v>
      </c>
      <c r="O439" s="168">
        <f t="shared" ca="1" si="114"/>
        <v>51.264000000000003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IFERROR(__xludf.DUMMYFUNCTION("IMPORTRANGE(""https://docs.google.com/spreadsheets/d/11923uPwbBZFjjGgGUA6NLw09EwE0CqkOc4q9oUmW1yo/edit?usp=sharing"",""พะเยา!M338"")"),13938)</f>
        <v>13938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IFERROR(__xludf.DUMMYFUNCTION("IMPORTRANGE(""https://docs.google.com/spreadsheets/d/11923uPwbBZFjjGgGUA6NLw09EwE0CqkOc4q9oUmW1yo/edit?usp=sharing"",""พะเยา!L350"")"),402345.5)</f>
        <v>402345.5</v>
      </c>
      <c r="M455" s="372"/>
      <c r="N455" s="372">
        <f ca="1">IFERROR(__xludf.DUMMYFUNCTION("IMPORTRANGE(""https://docs.google.com/spreadsheets/d/11923uPwbBZFjjGgGUA6NLw09EwE0CqkOc4q9oUmW1yo/edit?usp=sharing"",""พะเยา!M350"")"),195983.85)</f>
        <v>195983.85</v>
      </c>
      <c r="O455" s="372">
        <f t="shared" ref="O455:O459" ca="1" si="116">+IF(L455&gt;0,N455*100/L455,0)</f>
        <v>48.710337259892306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IFERROR(__xludf.DUMMYFUNCTION("IMPORTRANGE(""https://docs.google.com/spreadsheets/d/11923uPwbBZFjjGgGUA6NLw09EwE0CqkOc4q9oUmW1yo/edit?usp=sharing"",""พะเยา!L352"")"),402345.5)</f>
        <v>402345.5</v>
      </c>
      <c r="M457" s="165"/>
      <c r="N457" s="168">
        <f ca="1">IFERROR(__xludf.DUMMYFUNCTION("IMPORTRANGE(""https://docs.google.com/spreadsheets/d/11923uPwbBZFjjGgGUA6NLw09EwE0CqkOc4q9oUmW1yo/edit?usp=sharing"",""พะเยา!M352"")"),195983.85)</f>
        <v>195983.85</v>
      </c>
      <c r="O457" s="168">
        <f t="shared" ca="1" si="116"/>
        <v>48.710337259892306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IFERROR(__xludf.DUMMYFUNCTION("IMPORTRANGE(""https://docs.google.com/spreadsheets/d/11923uPwbBZFjjGgGUA6NLw09EwE0CqkOc4q9oUmW1yo/edit?usp=sharing"",""พะเยา!L354"")"),402345.5)</f>
        <v>402345.5</v>
      </c>
      <c r="M459" s="168"/>
      <c r="N459" s="168">
        <f ca="1">IFERROR(__xludf.DUMMYFUNCTION("IMPORTRANGE(""https://docs.google.com/spreadsheets/d/11923uPwbBZFjjGgGUA6NLw09EwE0CqkOc4q9oUmW1yo/edit?usp=sharing"",""พะเยา!M354"")"),195983.85)</f>
        <v>195983.85</v>
      </c>
      <c r="O459" s="168">
        <f t="shared" ca="1" si="116"/>
        <v>48.710337259892306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IFERROR(__xludf.DUMMYFUNCTION("IMPORTRANGE(""https://docs.google.com/spreadsheets/d/11923uPwbBZFjjGgGUA6NLw09EwE0CqkOc4q9oUmW1yo/edit?usp=sharing"",""พะเยา!M357"")"),53019.35)</f>
        <v>53019.35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IFERROR(__xludf.DUMMYFUNCTION("IMPORTRANGE(""https://docs.google.com/spreadsheets/d/11923uPwbBZFjjGgGUA6NLw09EwE0CqkOc4q9oUmW1yo/edit?usp=sharing"",""พะเยา!M358"")"),142964.5)</f>
        <v>142964.5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IFERROR(__xludf.DUMMYFUNCTION("IMPORTRANGE(""https://docs.google.com/spreadsheets/d/11923uPwbBZFjjGgGUA6NLw09EwE0CqkOc4q9oUmW1yo/edit?usp=sharing"",""พะเยา!I359"")"),31127)</f>
        <v>31127</v>
      </c>
      <c r="J464" s="266">
        <f ca="1">IFERROR(__xludf.DUMMYFUNCTION("IMPORTRANGE(""https://docs.google.com/spreadsheets/d/11923uPwbBZFjjGgGUA6NLw09EwE0CqkOc4q9oUmW1yo/edit?usp=sharing"",""พะเยา!J359"")"),0)</f>
        <v>0</v>
      </c>
      <c r="K464" s="267">
        <f t="shared" ref="K464:K515" ca="1" si="117">IF(I464&gt;0,J464*100/I464,0)</f>
        <v>0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IFERROR(__xludf.DUMMYFUNCTION("IMPORTRANGE(""https://docs.google.com/spreadsheets/d/11923uPwbBZFjjGgGUA6NLw09EwE0CqkOc4q9oUmW1yo/edit?usp=sharing"",""พะเยา!J392"")"),6)</f>
        <v>6</v>
      </c>
      <c r="K497" s="444">
        <f t="shared" ca="1" si="117"/>
        <v>6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IFERROR(__xludf.DUMMYFUNCTION("IMPORTRANGE(""https://docs.google.com/spreadsheets/d/11923uPwbBZFjjGgGUA6NLw09EwE0CqkOc4q9oUmW1yo/edit?usp=sharing"",""พะเยา!I411"")"),0)</f>
        <v>0</v>
      </c>
      <c r="J516" s="266">
        <f ca="1">IFERROR(__xludf.DUMMYFUNCTION("IMPORTRANGE(""https://docs.google.com/spreadsheets/d/11923uPwbBZFjjGgGUA6NLw09EwE0CqkOc4q9oUmW1yo/edit?usp=sharing"",""พะเยา!J411"")"),0)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IFERROR(__xludf.DUMMYFUNCTION("IMPORTRANGE(""https://docs.google.com/spreadsheets/d/11923uPwbBZFjjGgGUA6NLw09EwE0CqkOc4q9oUmW1yo/edit?usp=sharing"",""พะเยา!I412"")"),0)</f>
        <v>0</v>
      </c>
      <c r="J517" s="283">
        <f ca="1">IFERROR(__xludf.DUMMYFUNCTION("IMPORTRANGE(""https://docs.google.com/spreadsheets/d/11923uPwbBZFjjGgGUA6NLw09EwE0CqkOc4q9oUmW1yo/edit?usp=sharing"",""พะเยา!J412"")"),0)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IFERROR(__xludf.DUMMYFUNCTION("IMPORTRANGE(""https://docs.google.com/spreadsheets/d/11923uPwbBZFjjGgGUA6NLw09EwE0CqkOc4q9oUmW1yo/edit?usp=sharing"",""พะเยา!I413"")"),0)</f>
        <v>0</v>
      </c>
      <c r="J518" s="283">
        <f ca="1">IFERROR(__xludf.DUMMYFUNCTION("IMPORTRANGE(""https://docs.google.com/spreadsheets/d/11923uPwbBZFjjGgGUA6NLw09EwE0CqkOc4q9oUmW1yo/edit?usp=sharing"",""พะเยา!J413"")"),0)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IFERROR(__xludf.DUMMYFUNCTION("IMPORTRANGE(""https://docs.google.com/spreadsheets/d/11923uPwbBZFjjGgGUA6NLw09EwE0CqkOc4q9oUmW1yo/edit?usp=sharing"",""พะเยา!I420"")"),6)</f>
        <v>6</v>
      </c>
      <c r="J525" s="283">
        <f ca="1">IFERROR(__xludf.DUMMYFUNCTION("IMPORTRANGE(""https://docs.google.com/spreadsheets/d/11923uPwbBZFjjGgGUA6NLw09EwE0CqkOc4q9oUmW1yo/edit?usp=sharing"",""พะเยา!J420"")"),0)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IFERROR(__xludf.DUMMYFUNCTION("IMPORTRANGE(""https://docs.google.com/spreadsheets/d/11923uPwbBZFjjGgGUA6NLw09EwE0CqkOc4q9oUmW1yo/edit?usp=sharing"",""พะเยา!I421"")"),4)</f>
        <v>4</v>
      </c>
      <c r="J526" s="283">
        <f ca="1">IFERROR(__xludf.DUMMYFUNCTION("IMPORTRANGE(""https://docs.google.com/spreadsheets/d/11923uPwbBZFjjGgGUA6NLw09EwE0CqkOc4q9oUmW1yo/edit?usp=sharing"",""พะเยา!J421"")"),0)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IFERROR(__xludf.DUMMYFUNCTION("IMPORTRANGE(""https://docs.google.com/spreadsheets/d/11923uPwbBZFjjGgGUA6NLw09EwE0CqkOc4q9oUmW1yo/edit?usp=sharing"",""พะเยา!J459"")"),1351)</f>
        <v>1351</v>
      </c>
      <c r="K564" s="371">
        <f ca="1">IF(I564&gt;0,J564*100/I564,0)</f>
        <v>69.282051282051285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IFERROR(__xludf.DUMMYFUNCTION("IMPORTRANGE(""https://docs.google.com/spreadsheets/d/11923uPwbBZFjjGgGUA6NLw09EwE0CqkOc4q9oUmW1yo/edit?usp=sharing"",""พะเยา!M459"")"),44110)</f>
        <v>44110</v>
      </c>
      <c r="O564" s="372">
        <f t="shared" ref="O564:O568" ca="1" si="122">+IF(L564&gt;0,N564*100/L564,0)</f>
        <v>31.010967379077616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IFERROR(__xludf.DUMMYFUNCTION("IMPORTRANGE(""https://docs.google.com/spreadsheets/d/11923uPwbBZFjjGgGUA6NLw09EwE0CqkOc4q9oUmW1yo/edit?usp=sharing"",""พะเยา!M461"")"),44110)</f>
        <v>44110</v>
      </c>
      <c r="O566" s="168">
        <f t="shared" ca="1" si="122"/>
        <v>31.010967379077616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IFERROR(__xludf.DUMMYFUNCTION("IMPORTRANGE(""https://docs.google.com/spreadsheets/d/11923uPwbBZFjjGgGUA6NLw09EwE0CqkOc4q9oUmW1yo/edit?usp=sharing"",""พะเยา!M463"")"),44110)</f>
        <v>44110</v>
      </c>
      <c r="O568" s="168">
        <f t="shared" ca="1" si="122"/>
        <v>31.010967379077616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IFERROR(__xludf.DUMMYFUNCTION("IMPORTRANGE(""https://docs.google.com/spreadsheets/d/11923uPwbBZFjjGgGUA6NLw09EwE0CqkOc4q9oUmW1yo/edit?usp=sharing"",""พะเยา!M466"")"),21633)</f>
        <v>21633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IFERROR(__xludf.DUMMYFUNCTION("IMPORTRANGE(""https://docs.google.com/spreadsheets/d/11923uPwbBZFjjGgGUA6NLw09EwE0CqkOc4q9oUmW1yo/edit?usp=sharing"",""พะเยา!M467"")"),22477)</f>
        <v>22477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IFERROR(__xludf.DUMMYFUNCTION("IMPORTRANGE(""https://docs.google.com/spreadsheets/d/11923uPwbBZFjjGgGUA6NLw09EwE0CqkOc4q9oUmW1yo/edit?usp=sharing"",""พะเยา!J468"")"),1351)</f>
        <v>1351</v>
      </c>
      <c r="K573" s="201">
        <f ca="1">IF(I573&gt;0,J573*100/I573,0)</f>
        <v>69.282051282051285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IFERROR(__xludf.DUMMYFUNCTION("IMPORTRANGE(""https://docs.google.com/spreadsheets/d/11923uPwbBZFjjGgGUA6NLw09EwE0CqkOc4q9oUmW1yo/edit?usp=sharing"",""พะเยา!J470"")"),1)</f>
        <v>1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IFERROR(__xludf.DUMMYFUNCTION("IMPORTRANGE(""https://docs.google.com/spreadsheets/d/11923uPwbBZFjjGgGUA6NLw09EwE0CqkOc4q9oUmW1yo/edit?usp=sharing"",""พะเยา!J471"")"),64)</f>
        <v>64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IFERROR(__xludf.DUMMYFUNCTION("IMPORTRANGE(""https://docs.google.com/spreadsheets/d/11923uPwbBZFjjGgGUA6NLw09EwE0CqkOc4q9oUmW1yo/edit?usp=sharing"",""พะเยา!J472"")"),1287)</f>
        <v>1287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IFERROR(__xludf.DUMMYFUNCTION("IMPORTRANGE(""https://docs.google.com/spreadsheets/d/11923uPwbBZFjjGgGUA6NLw09EwE0CqkOc4q9oUmW1yo/edit?usp=sharing"",""พะเยา!J475"")"),11)</f>
        <v>11</v>
      </c>
      <c r="K580" s="371">
        <f ca="1">IF(I580&gt;0,J580*100/I580,0)</f>
        <v>27.5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IFERROR(__xludf.DUMMYFUNCTION("IMPORTRANGE(""https://docs.google.com/spreadsheets/d/11923uPwbBZFjjGgGUA6NLw09EwE0CqkOc4q9oUmW1yo/edit?usp=sharing"",""พะเยา!M483"")"),0)</f>
        <v>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IFERROR(__xludf.DUMMYFUNCTION("IMPORTRANGE(""https://docs.google.com/spreadsheets/d/11923uPwbBZFjjGgGUA6NLw09EwE0CqkOc4q9oUmW1yo/edit?usp=sharing"",""พะเยา!J485"")"),0)</f>
        <v>0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IFERROR(__xludf.DUMMYFUNCTION("IMPORTRANGE(""https://docs.google.com/spreadsheets/d/11923uPwbBZFjjGgGUA6NLw09EwE0CqkOc4q9oUmW1yo/edit?usp=sharing"",""พะเยา!J486"")"),11)</f>
        <v>11</v>
      </c>
      <c r="K591" s="163">
        <f t="shared" ca="1" si="125"/>
        <v>27.5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IFERROR(__xludf.DUMMYFUNCTION("IMPORTRANGE(""https://docs.google.com/spreadsheets/d/11923uPwbBZFjjGgGUA6NLw09EwE0CqkOc4q9oUmW1yo/edit?usp=sharing"",""พะเยา!J487"")"),5.5)</f>
        <v>5.5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IFERROR(__xludf.DUMMYFUNCTION("IMPORTRANGE(""https://docs.google.com/spreadsheets/d/11923uPwbBZFjjGgGUA6NLw09EwE0CqkOc4q9oUmW1yo/edit?usp=sharing"",""พะเยา!J490"")"),11)</f>
        <v>11</v>
      </c>
      <c r="K595" s="163">
        <f t="shared" ca="1" si="125"/>
        <v>27.5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IFERROR(__xludf.DUMMYFUNCTION("IMPORTRANGE(""https://docs.google.com/spreadsheets/d/11923uPwbBZFjjGgGUA6NLw09EwE0CqkOc4q9oUmW1yo/edit?usp=sharing"",""พะเยา!I491"")"),0)</f>
        <v>0</v>
      </c>
      <c r="J596" s="240">
        <f ca="1">IFERROR(__xludf.DUMMYFUNCTION("IMPORTRANGE(""https://docs.google.com/spreadsheets/d/11923uPwbBZFjjGgGUA6NLw09EwE0CqkOc4q9oUmW1yo/edit?usp=sharing"",""พะเยา!J491"")"),5.5)</f>
        <v>5.5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7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IFERROR(__xludf.DUMMYFUNCTION("IMPORTRANGE(""https://docs.google.com/spreadsheets/d/11923uPwbBZFjjGgGUA6NLw09EwE0CqkOc4q9oUmW1yo/edit?usp=sharing"",""พะเยา!L492"")"),14050)</f>
        <v>14050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14.946619217081851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14.946619217081851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14.946619217081851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IFERROR(__xludf.DUMMYFUNCTION("IMPORTRANGE(""https://docs.google.com/spreadsheets/d/11923uPwbBZFjjGgGUA6NLw09EwE0CqkOc4q9oUmW1yo/edit?usp=sharing"",""พะเยา!I523"")"),4799661.59)</f>
        <v>4799661.59</v>
      </c>
      <c r="J628" s="340">
        <f ca="1">IFERROR(__xludf.DUMMYFUNCTION("IMPORTRANGE(""https://docs.google.com/spreadsheets/d/11923uPwbBZFjjGgGUA6NLw09EwE0CqkOc4q9oUmW1yo/edit?usp=sharing"",""พะเยา!J523"")"),2082601.89)</f>
        <v>2082601.89</v>
      </c>
      <c r="K628" s="341">
        <f t="shared" ref="K628:K635" ca="1" si="129">IF(I628&gt;0,J628*100/I628,0)</f>
        <v>43.390598502591516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IFERROR(__xludf.DUMMYFUNCTION("IMPORTRANGE(""https://docs.google.com/spreadsheets/d/11923uPwbBZFjjGgGUA6NLw09EwE0CqkOc4q9oUmW1yo/edit?usp=sharing"",""พะเยา!I524"")"),454)</f>
        <v>454</v>
      </c>
      <c r="J629" s="340">
        <f ca="1">IFERROR(__xludf.DUMMYFUNCTION("IMPORTRANGE(""https://docs.google.com/spreadsheets/d/11923uPwbBZFjjGgGUA6NLw09EwE0CqkOc4q9oUmW1yo/edit?usp=sharing"",""พะเยา!J524"")"),204)</f>
        <v>204</v>
      </c>
      <c r="K629" s="341">
        <f t="shared" ca="1" si="129"/>
        <v>44.933920704845818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0">
        <f ca="1">IFERROR(__xludf.DUMMYFUNCTION("IMPORTRANGE(""https://docs.google.com/spreadsheets/d/11923uPwbBZFjjGgGUA6NLw09EwE0CqkOc4q9oUmW1yo/edit?usp=sharing"",""พะเยา!J525"")"),430519.13)</f>
        <v>430519.13</v>
      </c>
      <c r="K630" s="341">
        <f t="shared" ca="1" si="129"/>
        <v>4.339768671616997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IFERROR(__xludf.DUMMYFUNCTION("IMPORTRANGE(""https://docs.google.com/spreadsheets/d/11923uPwbBZFjjGgGUA6NLw09EwE0CqkOc4q9oUmW1yo/edit?usp=sharing"",""พะเยา!I526"")"),332)</f>
        <v>332</v>
      </c>
      <c r="J631" s="340">
        <f ca="1">IFERROR(__xludf.DUMMYFUNCTION("IMPORTRANGE(""https://docs.google.com/spreadsheets/d/11923uPwbBZFjjGgGUA6NLw09EwE0CqkOc4q9oUmW1yo/edit?usp=sharing"",""พะเยา!J526"")"),85)</f>
        <v>85</v>
      </c>
      <c r="K631" s="341">
        <f t="shared" ca="1" si="129"/>
        <v>25.602409638554217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IFERROR(__xludf.DUMMYFUNCTION("IMPORTRANGE(""https://docs.google.com/spreadsheets/d/11923uPwbBZFjjGgGUA6NLw09EwE0CqkOc4q9oUmW1yo/edit?usp=sharing"",""พะเยา!I527"")"),61819.65)</f>
        <v>61819.65</v>
      </c>
      <c r="J632" s="340">
        <f ca="1">IFERROR(__xludf.DUMMYFUNCTION("IMPORTRANGE(""https://docs.google.com/spreadsheets/d/11923uPwbBZFjjGgGUA6NLw09EwE0CqkOc4q9oUmW1yo/edit?usp=sharing"",""พะเยา!J527"")"),2100)</f>
        <v>2100</v>
      </c>
      <c r="K632" s="341">
        <f t="shared" ca="1" si="129"/>
        <v>3.3969781452984606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IFERROR(__xludf.DUMMYFUNCTION("IMPORTRANGE(""https://docs.google.com/spreadsheets/d/11923uPwbBZFjjGgGUA6NLw09EwE0CqkOc4q9oUmW1yo/edit?usp=sharing"",""พะเยา!I528"")"),107)</f>
        <v>107</v>
      </c>
      <c r="J633" s="340">
        <f ca="1">IFERROR(__xludf.DUMMYFUNCTION("IMPORTRANGE(""https://docs.google.com/spreadsheets/d/11923uPwbBZFjjGgGUA6NLw09EwE0CqkOc4q9oUmW1yo/edit?usp=sharing"",""พะเยา!J528"")"),2)</f>
        <v>2</v>
      </c>
      <c r="K633" s="341">
        <f t="shared" ca="1" si="129"/>
        <v>1.8691588785046729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IFERROR(__xludf.DUMMYFUNCTION("IMPORTRANGE(""https://docs.google.com/spreadsheets/d/11923uPwbBZFjjGgGUA6NLw09EwE0CqkOc4q9oUmW1yo/edit?usp=sharing"",""พะเยา!I529"")"),6000000)</f>
        <v>6000000</v>
      </c>
      <c r="J634" s="340">
        <f ca="1">IFERROR(__xludf.DUMMYFUNCTION("IMPORTRANGE(""https://docs.google.com/spreadsheets/d/11923uPwbBZFjjGgGUA6NLw09EwE0CqkOc4q9oUmW1yo/edit?usp=sharing"",""พะเยา!J529"")"),1580000)</f>
        <v>1580000</v>
      </c>
      <c r="K634" s="341">
        <f t="shared" ca="1" si="129"/>
        <v>26.333333333333332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IFERROR(__xludf.DUMMYFUNCTION("IMPORTRANGE(""https://docs.google.com/spreadsheets/d/11923uPwbBZFjjGgGUA6NLw09EwE0CqkOc4q9oUmW1yo/edit?usp=sharing"",""พะเยา!I530"")"),120)</f>
        <v>120</v>
      </c>
      <c r="J635" s="504">
        <f ca="1">IFERROR(__xludf.DUMMYFUNCTION("IMPORTRANGE(""https://docs.google.com/spreadsheets/d/11923uPwbBZFjjGgGUA6NLw09EwE0CqkOc4q9oUmW1yo/edit?usp=sharing"",""พะเยา!J530"")"),34)</f>
        <v>34</v>
      </c>
      <c r="K635" s="486">
        <f t="shared" ca="1" si="129"/>
        <v>28.333333333333332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11" sqref="J11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40" t="s">
        <v>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ht="18" customHeight="1" x14ac:dyDescent="0.35">
      <c r="A2" s="540" t="s">
        <v>252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16" ht="18" customHeight="1" x14ac:dyDescent="0.35">
      <c r="A3" s="540" t="s">
        <v>272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34" t="s">
        <v>2</v>
      </c>
      <c r="B5" s="535"/>
      <c r="C5" s="535"/>
      <c r="D5" s="535"/>
      <c r="E5" s="535"/>
      <c r="F5" s="535"/>
      <c r="G5" s="536"/>
      <c r="H5" s="529" t="s">
        <v>3</v>
      </c>
      <c r="I5" s="531" t="s">
        <v>4</v>
      </c>
      <c r="J5" s="523"/>
      <c r="K5" s="524"/>
      <c r="L5" s="532" t="s">
        <v>5</v>
      </c>
      <c r="M5" s="524"/>
      <c r="N5" s="533" t="s">
        <v>6</v>
      </c>
      <c r="O5" s="523"/>
      <c r="P5" s="524"/>
    </row>
    <row r="6" spans="1:16" ht="21.75" customHeight="1" x14ac:dyDescent="0.35">
      <c r="A6" s="537"/>
      <c r="B6" s="538"/>
      <c r="C6" s="538"/>
      <c r="D6" s="538"/>
      <c r="E6" s="538"/>
      <c r="F6" s="538"/>
      <c r="G6" s="539"/>
      <c r="H6" s="53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8" t="s">
        <v>15</v>
      </c>
      <c r="B7" s="523"/>
      <c r="C7" s="523"/>
      <c r="D7" s="523"/>
      <c r="E7" s="523"/>
      <c r="F7" s="523"/>
      <c r="G7" s="524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16"/>
      <c r="F8" s="516"/>
      <c r="G8" s="516"/>
      <c r="H8" s="20" t="s">
        <v>12</v>
      </c>
      <c r="I8" s="21"/>
      <c r="J8" s="21"/>
      <c r="K8" s="22"/>
      <c r="L8" s="23">
        <f t="shared" ref="L8:N8" ca="1" si="0">L9+L10</f>
        <v>4612611.82</v>
      </c>
      <c r="M8" s="23">
        <f t="shared" ca="1" si="0"/>
        <v>2004950</v>
      </c>
      <c r="N8" s="23">
        <f t="shared" ca="1" si="0"/>
        <v>2013571.79</v>
      </c>
      <c r="O8" s="22">
        <f t="shared" ref="O8:O16" ca="1" si="1">IF(L8&gt;0,N8*100/L8,0)</f>
        <v>43.653614667275427</v>
      </c>
      <c r="P8" s="22">
        <f t="shared" ref="P8:P16" ca="1" si="2">IF(M8&gt;0,N8*100/M8,0)</f>
        <v>100.43002518766055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4612611.82</v>
      </c>
      <c r="M10" s="30">
        <f t="shared" ca="1" si="4"/>
        <v>2004950</v>
      </c>
      <c r="N10" s="30">
        <f t="shared" ca="1" si="4"/>
        <v>2013571.79</v>
      </c>
      <c r="O10" s="29">
        <f t="shared" ca="1" si="1"/>
        <v>43.653614667275427</v>
      </c>
      <c r="P10" s="29">
        <f t="shared" ca="1" si="2"/>
        <v>100.43002518766055</v>
      </c>
    </row>
    <row r="11" spans="1:16" ht="21.75" customHeight="1" x14ac:dyDescent="0.45">
      <c r="A11" s="31"/>
      <c r="B11" s="32"/>
      <c r="C11" s="33" t="s">
        <v>16</v>
      </c>
      <c r="D11" s="521" t="s">
        <v>20</v>
      </c>
      <c r="E11" s="518"/>
      <c r="F11" s="518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45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4537011.82</v>
      </c>
      <c r="M12" s="39">
        <f t="shared" ca="1" si="6"/>
        <v>1929350</v>
      </c>
      <c r="N12" s="39">
        <f t="shared" ca="1" si="6"/>
        <v>1937971.79</v>
      </c>
      <c r="O12" s="39">
        <f t="shared" ca="1" si="1"/>
        <v>42.714717679532072</v>
      </c>
      <c r="P12" s="39">
        <f t="shared" ca="1" si="2"/>
        <v>100.44687537253479</v>
      </c>
    </row>
    <row r="13" spans="1:16" ht="21.75" customHeight="1" x14ac:dyDescent="0.45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2124700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45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2412311.8199999998</v>
      </c>
      <c r="M14" s="39">
        <f t="shared" si="8"/>
        <v>0</v>
      </c>
      <c r="N14" s="39">
        <f t="shared" ca="1" si="8"/>
        <v>576743.62999999989</v>
      </c>
      <c r="O14" s="39">
        <f t="shared" ca="1" si="1"/>
        <v>23.908336609651066</v>
      </c>
      <c r="P14" s="39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1" t="s">
        <v>23</v>
      </c>
      <c r="E15" s="518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28" t="s">
        <v>24</v>
      </c>
      <c r="B17" s="523"/>
      <c r="C17" s="523"/>
      <c r="D17" s="523"/>
      <c r="E17" s="523"/>
      <c r="F17" s="523"/>
      <c r="G17" s="524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16"/>
      <c r="F18" s="516"/>
      <c r="G18" s="516"/>
      <c r="H18" s="20" t="s">
        <v>12</v>
      </c>
      <c r="I18" s="21"/>
      <c r="J18" s="21"/>
      <c r="K18" s="22"/>
      <c r="L18" s="23">
        <f t="shared" ref="L18:N18" ca="1" si="11">L19+L20</f>
        <v>2603065</v>
      </c>
      <c r="M18" s="23">
        <f t="shared" ca="1" si="11"/>
        <v>2004950</v>
      </c>
      <c r="N18" s="23">
        <f t="shared" ca="1" si="11"/>
        <v>1436828.1600000001</v>
      </c>
      <c r="O18" s="22">
        <f t="shared" ref="O18:O20" ca="1" si="12">IF(L18&gt;0,N18*100/L18,0)</f>
        <v>55.197552116447341</v>
      </c>
      <c r="P18" s="22">
        <f t="shared" ref="P18:P26" ca="1" si="13">IF(M18&gt;0,N18*100/M18,0)</f>
        <v>71.664039502231972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2603065</v>
      </c>
      <c r="M20" s="30">
        <f t="shared" ca="1" si="15"/>
        <v>2004950</v>
      </c>
      <c r="N20" s="30">
        <f t="shared" ca="1" si="15"/>
        <v>1436828.1600000001</v>
      </c>
      <c r="O20" s="29">
        <f t="shared" ca="1" si="12"/>
        <v>55.197552116447341</v>
      </c>
      <c r="P20" s="29">
        <f t="shared" ca="1" si="13"/>
        <v>71.664039502231972</v>
      </c>
    </row>
    <row r="21" spans="1:16" ht="21.75" customHeight="1" x14ac:dyDescent="0.45">
      <c r="A21" s="31"/>
      <c r="B21" s="32"/>
      <c r="C21" s="33" t="s">
        <v>16</v>
      </c>
      <c r="D21" s="521" t="s">
        <v>20</v>
      </c>
      <c r="E21" s="518"/>
      <c r="F21" s="518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45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2527465</v>
      </c>
      <c r="M22" s="42">
        <f t="shared" ca="1" si="18"/>
        <v>1929350</v>
      </c>
      <c r="N22" s="39">
        <f t="shared" ca="1" si="18"/>
        <v>1361228.1600000001</v>
      </c>
      <c r="O22" s="39">
        <f t="shared" ca="1" si="17"/>
        <v>53.857448471096532</v>
      </c>
      <c r="P22" s="39">
        <f t="shared" ca="1" si="13"/>
        <v>70.553718091585253</v>
      </c>
    </row>
    <row r="23" spans="1:16" ht="21.75" customHeight="1" x14ac:dyDescent="0.45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2124700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45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402765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1" t="s">
        <v>23</v>
      </c>
      <c r="E25" s="518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28" t="s">
        <v>25</v>
      </c>
      <c r="B27" s="523"/>
      <c r="C27" s="523"/>
      <c r="D27" s="523"/>
      <c r="E27" s="523"/>
      <c r="F27" s="523"/>
      <c r="G27" s="524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16"/>
      <c r="F28" s="516"/>
      <c r="G28" s="516"/>
      <c r="H28" s="20" t="s">
        <v>12</v>
      </c>
      <c r="I28" s="21"/>
      <c r="J28" s="21"/>
      <c r="K28" s="22"/>
      <c r="L28" s="23">
        <f t="shared" ref="L28:N28" ca="1" si="23">L29+L30</f>
        <v>2009546.8199999998</v>
      </c>
      <c r="M28" s="23">
        <f t="shared" si="23"/>
        <v>0</v>
      </c>
      <c r="N28" s="23">
        <f t="shared" ca="1" si="23"/>
        <v>576743.62999999989</v>
      </c>
      <c r="O28" s="22">
        <f t="shared" ref="O28:O30" ca="1" si="24">IF(L28&gt;0,N28*100/L28,0)</f>
        <v>28.700183755857946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2009546.8199999998</v>
      </c>
      <c r="M30" s="30">
        <f t="shared" si="27"/>
        <v>0</v>
      </c>
      <c r="N30" s="30">
        <f t="shared" ca="1" si="27"/>
        <v>576743.62999999989</v>
      </c>
      <c r="O30" s="29">
        <f t="shared" ca="1" si="24"/>
        <v>28.700183755857946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1" t="s">
        <v>20</v>
      </c>
      <c r="E31" s="518"/>
      <c r="F31" s="518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45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2009546.8199999998</v>
      </c>
      <c r="M32" s="39">
        <f t="shared" si="30"/>
        <v>0</v>
      </c>
      <c r="N32" s="39">
        <f t="shared" ca="1" si="30"/>
        <v>576743.62999999989</v>
      </c>
      <c r="O32" s="39">
        <f t="shared" ca="1" si="29"/>
        <v>28.700183755857946</v>
      </c>
      <c r="P32" s="39">
        <f t="shared" si="25"/>
        <v>0</v>
      </c>
    </row>
    <row r="33" spans="1:16" ht="21.75" customHeight="1" x14ac:dyDescent="0.45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45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2009546.8199999998</v>
      </c>
      <c r="M34" s="39">
        <f t="shared" si="32"/>
        <v>0</v>
      </c>
      <c r="N34" s="39">
        <f t="shared" ca="1" si="32"/>
        <v>576743.62999999989</v>
      </c>
      <c r="O34" s="39">
        <f t="shared" ca="1" si="29"/>
        <v>28.700183755857946</v>
      </c>
      <c r="P34" s="39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1" t="s">
        <v>23</v>
      </c>
      <c r="E35" s="518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2603065</v>
      </c>
      <c r="M37" s="55">
        <f t="shared" ca="1" si="33"/>
        <v>2004950</v>
      </c>
      <c r="N37" s="55">
        <f t="shared" ca="1" si="33"/>
        <v>1436828.1600000001</v>
      </c>
      <c r="O37" s="56">
        <f t="shared" ca="1" si="29"/>
        <v>55.197552116447341</v>
      </c>
      <c r="P37" s="56">
        <f t="shared" ca="1" si="25"/>
        <v>71.664039502231972</v>
      </c>
    </row>
    <row r="38" spans="1:16" ht="21.75" customHeight="1" x14ac:dyDescent="0.45">
      <c r="A38" s="522" t="s">
        <v>27</v>
      </c>
      <c r="B38" s="523"/>
      <c r="C38" s="523"/>
      <c r="D38" s="523"/>
      <c r="E38" s="523"/>
      <c r="F38" s="523"/>
      <c r="G38" s="52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25" t="s">
        <v>28</v>
      </c>
      <c r="C39" s="516"/>
      <c r="D39" s="516"/>
      <c r="E39" s="516"/>
      <c r="F39" s="516"/>
      <c r="G39" s="51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26" t="s">
        <v>17</v>
      </c>
      <c r="E41" s="518"/>
      <c r="F41" s="518"/>
      <c r="G41" s="518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493600</v>
      </c>
      <c r="N41" s="79">
        <f t="shared" ca="1" si="34"/>
        <v>465874.07</v>
      </c>
      <c r="O41" s="78">
        <f t="shared" ref="O41:O43" ca="1" si="35">IF(L41&gt;0,N41*100/L41,0)</f>
        <v>70.790771919161216</v>
      </c>
      <c r="P41" s="78">
        <f t="shared" ref="P41:P43" ca="1" si="36">IF(M41&gt;0,N41*100/M41,0)</f>
        <v>94.382915316045384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493600</v>
      </c>
      <c r="N43" s="79">
        <f t="shared" ca="1" si="38"/>
        <v>465874.07</v>
      </c>
      <c r="O43" s="78">
        <f t="shared" ca="1" si="35"/>
        <v>70.790771919161216</v>
      </c>
      <c r="P43" s="78">
        <f t="shared" ca="1" si="36"/>
        <v>94.382915316045384</v>
      </c>
    </row>
    <row r="44" spans="1:16" ht="21.75" customHeight="1" x14ac:dyDescent="0.45">
      <c r="A44" s="80"/>
      <c r="B44" s="81"/>
      <c r="C44" s="82" t="s">
        <v>16</v>
      </c>
      <c r="D44" s="517" t="s">
        <v>20</v>
      </c>
      <c r="E44" s="518"/>
      <c r="F44" s="518"/>
      <c r="G44" s="83" t="s">
        <v>18</v>
      </c>
      <c r="H44" s="84" t="s">
        <v>12</v>
      </c>
      <c r="I44" s="85"/>
      <c r="J44" s="85"/>
      <c r="K44" s="86"/>
      <c r="L44" s="87">
        <v>0</v>
      </c>
      <c r="M44" s="512"/>
      <c r="N44" s="513"/>
      <c r="O44" s="513"/>
      <c r="P44" s="513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658100</v>
      </c>
      <c r="M45" s="50">
        <f ca="1">IFERROR(__xludf.DUMMYFUNCTION("IMPORTRANGE(""https://docs.google.com/spreadsheets/d/1Yj_ptqi66GCucihVvJfMjLAmec39IyEx_6qawtMGysU/edit?usp=sharing"",""สบก!Q27"")"),493600)</f>
        <v>493600</v>
      </c>
      <c r="N45" s="50">
        <f ca="1">IFERROR(__xludf.DUMMYFUNCTION("IMPORTRANGE(""https://docs.google.com/spreadsheets/d/1Yj_ptqi66GCucihVvJfMjLAmec39IyEx_6qawtMGysU/edit?usp=sharing"",""สบก!R27"")"),465874.07)</f>
        <v>465874.07</v>
      </c>
      <c r="O45" s="39">
        <f ca="1">IF(L45&gt;0,N45*100/L45,0)</f>
        <v>70.790771919161216</v>
      </c>
      <c r="P45" s="39">
        <f ca="1">IF(M45&gt;0,N45*100/M45,0)</f>
        <v>94.382915316045384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IFERROR(__xludf.DUMMYFUNCTION("IMPORTRANGE(""https://docs.google.com/spreadsheets/d/1Yj_ptqi66GCucihVvJfMjLAmec39IyEx_6qawtMGysU/edit?usp=sharing"",""สบก!M27"")"),658100)</f>
        <v>658100</v>
      </c>
      <c r="M46" s="42"/>
      <c r="N46" s="39"/>
      <c r="O46" s="39"/>
      <c r="P46" s="39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45">
      <c r="A48" s="80"/>
      <c r="B48" s="81"/>
      <c r="C48" s="82" t="s">
        <v>16</v>
      </c>
      <c r="D48" s="517" t="s">
        <v>23</v>
      </c>
      <c r="E48" s="51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19" t="s">
        <v>32</v>
      </c>
      <c r="C52" s="518"/>
      <c r="D52" s="518"/>
      <c r="E52" s="518"/>
      <c r="F52" s="518"/>
      <c r="G52" s="51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20" t="s">
        <v>17</v>
      </c>
      <c r="E53" s="518"/>
      <c r="F53" s="518"/>
      <c r="G53" s="518"/>
      <c r="H53" s="118" t="s">
        <v>12</v>
      </c>
      <c r="I53" s="119"/>
      <c r="J53" s="119"/>
      <c r="K53" s="120"/>
      <c r="L53" s="121">
        <f t="shared" ref="L53:N53" ca="1" si="39">L54+L55</f>
        <v>612000</v>
      </c>
      <c r="M53" s="121">
        <f t="shared" ca="1" si="39"/>
        <v>476250</v>
      </c>
      <c r="N53" s="121">
        <f t="shared" ca="1" si="39"/>
        <v>311715</v>
      </c>
      <c r="O53" s="120">
        <f t="shared" ref="O53:O55" ca="1" si="40">IF(L53&gt;0,N53*100/L53,0)</f>
        <v>50.933823529411768</v>
      </c>
      <c r="P53" s="120">
        <f t="shared" ref="P53:P55" ca="1" si="41">IF(M53&gt;0,N53*100/M53,0)</f>
        <v>65.45196850393701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612000</v>
      </c>
      <c r="M55" s="121">
        <f t="shared" ca="1" si="43"/>
        <v>476250</v>
      </c>
      <c r="N55" s="121">
        <f t="shared" ca="1" si="43"/>
        <v>311715</v>
      </c>
      <c r="O55" s="120">
        <f t="shared" ca="1" si="40"/>
        <v>50.933823529411768</v>
      </c>
      <c r="P55" s="120">
        <f t="shared" ca="1" si="41"/>
        <v>65.45196850393701</v>
      </c>
    </row>
    <row r="56" spans="1:16" ht="21.75" customHeight="1" x14ac:dyDescent="0.45">
      <c r="A56" s="80"/>
      <c r="B56" s="81"/>
      <c r="C56" s="82" t="s">
        <v>16</v>
      </c>
      <c r="D56" s="517" t="s">
        <v>20</v>
      </c>
      <c r="E56" s="518"/>
      <c r="F56" s="518"/>
      <c r="G56" s="83" t="s">
        <v>18</v>
      </c>
      <c r="H56" s="84" t="s">
        <v>12</v>
      </c>
      <c r="I56" s="85"/>
      <c r="J56" s="85"/>
      <c r="K56" s="86"/>
      <c r="L56" s="513">
        <v>0</v>
      </c>
      <c r="M56" s="512"/>
      <c r="N56" s="513"/>
      <c r="O56" s="513"/>
      <c r="P56" s="513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612000</v>
      </c>
      <c r="M57" s="50">
        <f ca="1">IFERROR(__xludf.DUMMYFUNCTION("IMPORTRANGE(""https://docs.google.com/spreadsheets/d/1Yj_ptqi66GCucihVvJfMjLAmec39IyEx_6qawtMGysU/edit?usp=sharing"",""สบก!Z27"")"),476250)</f>
        <v>476250</v>
      </c>
      <c r="N57" s="50">
        <f ca="1">IFERROR(__xludf.DUMMYFUNCTION("IMPORTRANGE(""https://docs.google.com/spreadsheets/d/1Yj_ptqi66GCucihVvJfMjLAmec39IyEx_6qawtMGysU/edit?usp=sharing"",""สบก!AA27"")"),311715)</f>
        <v>311715</v>
      </c>
      <c r="O57" s="39">
        <f ca="1">IF(L57&gt;0,N57*100/L57,0)</f>
        <v>50.933823529411768</v>
      </c>
      <c r="P57" s="39">
        <f ca="1">IF(M57&gt;0,N57*100/M57,0)</f>
        <v>65.45196850393701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IFERROR(__xludf.DUMMYFUNCTION("IMPORTRANGE(""https://docs.google.com/spreadsheets/d/1Yj_ptqi66GCucihVvJfMjLAmec39IyEx_6qawtMGysU/edit?usp=sharing"",""สบก!V27"")"),612000)</f>
        <v>612000</v>
      </c>
      <c r="M58" s="42"/>
      <c r="N58" s="39"/>
      <c r="O58" s="39"/>
      <c r="P58" s="39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45">
      <c r="A60" s="80"/>
      <c r="B60" s="81"/>
      <c r="C60" s="82" t="s">
        <v>16</v>
      </c>
      <c r="D60" s="517" t="s">
        <v>23</v>
      </c>
      <c r="E60" s="51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5" t="s">
        <v>17</v>
      </c>
      <c r="E66" s="516"/>
      <c r="F66" s="516"/>
      <c r="G66" s="51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7"/>
      <c r="B69" s="158"/>
      <c r="C69" s="158" t="s">
        <v>16</v>
      </c>
      <c r="D69" s="521" t="s">
        <v>20</v>
      </c>
      <c r="E69" s="518"/>
      <c r="F69" s="518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3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1"/>
      <c r="C73" s="82" t="s">
        <v>16</v>
      </c>
      <c r="D73" s="517" t="s">
        <v>23</v>
      </c>
      <c r="E73" s="518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45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3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52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54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55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0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1"/>
      <c r="M92" s="221"/>
      <c r="N92" s="222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0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2"/>
      <c r="M93" s="222"/>
      <c r="N93" s="222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5" t="s">
        <v>17</v>
      </c>
      <c r="E94" s="516"/>
      <c r="F94" s="516"/>
      <c r="G94" s="51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7"/>
      <c r="B97" s="158"/>
      <c r="C97" s="158" t="s">
        <v>16</v>
      </c>
      <c r="D97" s="521" t="s">
        <v>20</v>
      </c>
      <c r="E97" s="518"/>
      <c r="F97" s="518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3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1"/>
      <c r="C101" s="82" t="s">
        <v>16</v>
      </c>
      <c r="D101" s="517" t="s">
        <v>23</v>
      </c>
      <c r="E101" s="518"/>
      <c r="F101" s="89"/>
      <c r="G101" s="83" t="s">
        <v>18</v>
      </c>
      <c r="H101" s="171" t="s">
        <v>12</v>
      </c>
      <c r="I101" s="187"/>
      <c r="J101" s="187"/>
      <c r="K101" s="223"/>
      <c r="L101" s="42">
        <v>0</v>
      </c>
      <c r="M101" s="42"/>
      <c r="N101" s="42"/>
      <c r="O101" s="42"/>
      <c r="P101" s="42"/>
    </row>
    <row r="102" spans="1:16" ht="21.75" customHeight="1" x14ac:dyDescent="0.45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3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3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3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54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IFERROR(__xludf.DUMMYFUNCTION("IMPORTRANGE(""https://docs.google.com/spreadsheets/d/11923uPwbBZFjjGgGUA6NLw09EwE0CqkOc4q9oUmW1yo/edit?usp=sharing"",""พิจิตร!J50"")"),0)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66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8"/>
      <c r="B117" s="139" t="s">
        <v>67</v>
      </c>
      <c r="C117" s="231"/>
      <c r="D117" s="140"/>
      <c r="E117" s="139"/>
      <c r="F117" s="139"/>
      <c r="G117" s="220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5" t="s">
        <v>17</v>
      </c>
      <c r="E118" s="516"/>
      <c r="F118" s="516"/>
      <c r="G118" s="51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7"/>
      <c r="B121" s="158"/>
      <c r="C121" s="158" t="s">
        <v>16</v>
      </c>
      <c r="D121" s="521" t="s">
        <v>20</v>
      </c>
      <c r="E121" s="518"/>
      <c r="F121" s="518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IFERROR(__xludf.DUMMYFUNCTION("IMPORTRANGE(""https://docs.google.com/spreadsheets/d/1Yj_ptqi66GCucihVvJfMjLAmec39IyEx_6qawtMGysU/edit?usp=sharing"",""สบก!BA27"")"),0)</f>
        <v>0</v>
      </c>
      <c r="N122" s="168">
        <f ca="1">IFERROR(__xludf.DUMMYFUNCTION("IMPORTRANGE(""https://docs.google.com/spreadsheets/d/1Yj_ptqi66GCucihVvJfMjLAmec39IyEx_6qawtMGysU/edit?usp=sharing"",""สบก!BB27"")"),0)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3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IFERROR(__xludf.DUMMYFUNCTION("IMPORTRANGE(""https://docs.google.com/spreadsheets/d/1Yj_ptqi66GCucihVvJfMjLAmec39IyEx_6qawtMGysU/edit?usp=sharing"",""สบก!AX27"")"),0)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1"/>
      <c r="C125" s="82" t="s">
        <v>16</v>
      </c>
      <c r="D125" s="517" t="s">
        <v>23</v>
      </c>
      <c r="E125" s="518"/>
      <c r="F125" s="89"/>
      <c r="G125" s="83" t="s">
        <v>18</v>
      </c>
      <c r="H125" s="171" t="s">
        <v>12</v>
      </c>
      <c r="I125" s="187"/>
      <c r="J125" s="187"/>
      <c r="K125" s="223"/>
      <c r="L125" s="42">
        <v>0</v>
      </c>
      <c r="M125" s="42"/>
      <c r="N125" s="42"/>
      <c r="O125" s="42"/>
      <c r="P125" s="42"/>
    </row>
    <row r="126" spans="1:16" ht="21.75" customHeight="1" x14ac:dyDescent="0.45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3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35">
      <c r="A127" s="175"/>
      <c r="B127" s="176"/>
      <c r="C127" s="158" t="s">
        <v>16</v>
      </c>
      <c r="D127" s="232" t="s">
        <v>253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3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54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IFERROR(__xludf.DUMMYFUNCTION("IMPORTRANGE(""https://docs.google.com/spreadsheets/d/11923uPwbBZFjjGgGUA6NLw09EwE0CqkOc4q9oUmW1yo/edit?usp=sharing"",""พิจิตร!J65"")"),0)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71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72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73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IFERROR(__xludf.DUMMYFUNCTION("IMPORTRANGE(""https://docs.google.com/spreadsheets/d/11923uPwbBZFjjGgGUA6NLw09EwE0CqkOc4q9oUmW1yo/edit?usp=sharing"",""พิจิตร!I68"")"),0)</f>
        <v>0</v>
      </c>
      <c r="J138" s="266">
        <f ca="1">IFERROR(__xludf.DUMMYFUNCTION("IMPORTRANGE(""https://docs.google.com/spreadsheets/d/11923uPwbBZFjjGgGUA6NLw09EwE0CqkOc4q9oUmW1yo/edit?usp=sharing"",""พิจิตร!J68"")"),0)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74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6"/>
      <c r="B140" s="147"/>
      <c r="C140" s="148" t="s">
        <v>16</v>
      </c>
      <c r="D140" s="515" t="s">
        <v>17</v>
      </c>
      <c r="E140" s="516"/>
      <c r="F140" s="516"/>
      <c r="G140" s="516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55625</v>
      </c>
      <c r="N140" s="152">
        <f t="shared" ca="1" si="64"/>
        <v>35258</v>
      </c>
      <c r="O140" s="151">
        <f t="shared" ref="O140:O142" ca="1" si="65">IF(L140&gt;0,N140*100/L140,0)</f>
        <v>60.270085470085469</v>
      </c>
      <c r="P140" s="151">
        <f t="shared" ref="P140:P142" ca="1" si="66">IF(M140&gt;0,N140*100/M140,0)</f>
        <v>63.385168539325839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58500</v>
      </c>
      <c r="M142" s="88">
        <f t="shared" ca="1" si="68"/>
        <v>55625</v>
      </c>
      <c r="N142" s="88">
        <f t="shared" ca="1" si="68"/>
        <v>35258</v>
      </c>
      <c r="O142" s="156">
        <f t="shared" ca="1" si="65"/>
        <v>60.270085470085469</v>
      </c>
      <c r="P142" s="156">
        <f t="shared" ca="1" si="66"/>
        <v>63.385168539325839</v>
      </c>
    </row>
    <row r="143" spans="1:16" ht="21.75" customHeight="1" x14ac:dyDescent="0.45">
      <c r="A143" s="157"/>
      <c r="B143" s="158"/>
      <c r="C143" s="158" t="s">
        <v>16</v>
      </c>
      <c r="D143" s="521" t="s">
        <v>20</v>
      </c>
      <c r="E143" s="518"/>
      <c r="F143" s="518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58500</v>
      </c>
      <c r="M144" s="167">
        <f ca="1">IFERROR(__xludf.DUMMYFUNCTION("IMPORTRANGE(""https://docs.google.com/spreadsheets/d/1Yj_ptqi66GCucihVvJfMjLAmec39IyEx_6qawtMGysU/edit?usp=sharing"",""สบก!BJ27"")"),55625)</f>
        <v>55625</v>
      </c>
      <c r="N144" s="168">
        <f ca="1">IFERROR(__xludf.DUMMYFUNCTION("IMPORTRANGE(""https://docs.google.com/spreadsheets/d/1Yj_ptqi66GCucihVvJfMjLAmec39IyEx_6qawtMGysU/edit?usp=sharing"",""สบก!BK27"")"),35258)</f>
        <v>35258</v>
      </c>
      <c r="O144" s="168">
        <f ca="1">IF(L144&gt;0,N144*100/L144,0)</f>
        <v>60.270085470085469</v>
      </c>
      <c r="P144" s="168">
        <f ca="1">IF(M144&gt;0,N144*100/M144,0)</f>
        <v>63.385168539325839</v>
      </c>
    </row>
    <row r="145" spans="1:16" ht="21.75" customHeight="1" x14ac:dyDescent="0.3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3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IFERROR(__xludf.DUMMYFUNCTION("IMPORTRANGE(""https://docs.google.com/spreadsheets/d/1Yj_ptqi66GCucihVvJfMjLAmec39IyEx_6qawtMGysU/edit?usp=sharing"",""สบก!BG27"")"),58500)</f>
        <v>58500</v>
      </c>
      <c r="M146" s="167"/>
      <c r="N146" s="167"/>
      <c r="O146" s="168"/>
      <c r="P146" s="168"/>
    </row>
    <row r="147" spans="1:16" ht="21.75" customHeight="1" x14ac:dyDescent="0.45">
      <c r="A147" s="170"/>
      <c r="B147" s="81"/>
      <c r="C147" s="82" t="s">
        <v>16</v>
      </c>
      <c r="D147" s="517" t="s">
        <v>23</v>
      </c>
      <c r="E147" s="518"/>
      <c r="F147" s="89"/>
      <c r="G147" s="83" t="s">
        <v>18</v>
      </c>
      <c r="H147" s="171" t="s">
        <v>12</v>
      </c>
      <c r="I147" s="187"/>
      <c r="J147" s="187"/>
      <c r="K147" s="223"/>
      <c r="L147" s="42">
        <v>0</v>
      </c>
      <c r="M147" s="42"/>
      <c r="N147" s="42"/>
      <c r="O147" s="42"/>
      <c r="P147" s="42"/>
    </row>
    <row r="148" spans="1:16" ht="21.75" customHeight="1" x14ac:dyDescent="0.45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3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35">
      <c r="A149" s="269"/>
      <c r="B149" s="270"/>
      <c r="C149" s="271" t="s">
        <v>75</v>
      </c>
      <c r="D149" s="271"/>
      <c r="E149" s="271"/>
      <c r="F149" s="271"/>
      <c r="G149" s="272"/>
      <c r="H149" s="273" t="s">
        <v>76</v>
      </c>
      <c r="I149" s="274">
        <f ca="1">IFERROR(__xludf.DUMMYFUNCTION("IMPORTRANGE(""https://docs.google.com/spreadsheets/d/11923uPwbBZFjjGgGUA6NLw09EwE0CqkOc4q9oUmW1yo/edit?usp=sharing"",""พิจิตร!I74"")"),4)</f>
        <v>4</v>
      </c>
      <c r="J149" s="274">
        <f ca="1">IFERROR(__xludf.DUMMYFUNCTION("IMPORTRANGE(""https://docs.google.com/spreadsheets/d/11923uPwbBZFjjGgGUA6NLw09EwE0CqkOc4q9oUmW1yo/edit?usp=sharing"",""พิจิตร!J74"")"),1)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7"/>
      <c r="B150" s="158"/>
      <c r="C150" s="158" t="s">
        <v>16</v>
      </c>
      <c r="D150" s="277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8" t="s">
        <v>79</v>
      </c>
      <c r="G159" s="196"/>
      <c r="H159" s="279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IFERROR(__xludf.DUMMYFUNCTION("IMPORTRANGE(""https://docs.google.com/spreadsheets/d/11923uPwbBZFjjGgGUA6NLw09EwE0CqkOc4q9oUmW1yo/edit?usp=sharing"",""พิจิตร!J84"")"),28)</f>
        <v>28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80" t="s">
        <v>80</v>
      </c>
      <c r="H160" s="279" t="s">
        <v>37</v>
      </c>
      <c r="I160" s="187"/>
      <c r="J160" s="281">
        <f ca="1">IFERROR(__xludf.DUMMYFUNCTION("IMPORTRANGE(""https://docs.google.com/spreadsheets/d/11923uPwbBZFjjGgGUA6NLw09EwE0CqkOc4q9oUmW1yo/edit?usp=sharing"",""พิจิตร!J85"")"),28)</f>
        <v>28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80" t="s">
        <v>81</v>
      </c>
      <c r="H161" s="279" t="s">
        <v>37</v>
      </c>
      <c r="I161" s="187"/>
      <c r="J161" s="281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54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2" t="s">
        <v>83</v>
      </c>
      <c r="I164" s="283">
        <f ca="1">IFERROR(__xludf.DUMMYFUNCTION("IMPORTRANGE(""https://docs.google.com/spreadsheets/d/11923uPwbBZFjjGgGUA6NLw09EwE0CqkOc4q9oUmW1yo/edit?usp=sharing"",""พิจิตร!I89"")"),3)</f>
        <v>3</v>
      </c>
      <c r="J164" s="283">
        <f ca="1">IFERROR(__xludf.DUMMYFUNCTION("IMPORTRANGE(""https://docs.google.com/spreadsheets/d/11923uPwbBZFjjGgGUA6NLw09EwE0CqkOc4q9oUmW1yo/edit?usp=sharing"",""พิจิตร!J89"")"),1)</f>
        <v>1</v>
      </c>
      <c r="K164" s="284">
        <f ca="1">IF(I164&gt;0,J164*100/I164,0)</f>
        <v>33.333333333333336</v>
      </c>
      <c r="L164" s="276"/>
      <c r="M164" s="276"/>
      <c r="N164" s="276"/>
      <c r="O164" s="276"/>
      <c r="P164" s="276"/>
    </row>
    <row r="165" spans="1:16" ht="21.75" customHeight="1" x14ac:dyDescent="0.35">
      <c r="A165" s="157"/>
      <c r="B165" s="158"/>
      <c r="C165" s="158" t="s">
        <v>16</v>
      </c>
      <c r="D165" s="277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IFERROR(__xludf.DUMMYFUNCTION("IMPORTRANGE(""https://docs.google.com/spreadsheets/d/11923uPwbBZFjjGgGUA6NLw09EwE0CqkOc4q9oUmW1yo/edit?usp=sharing"",""พิจิตร!J98"")"),1)</f>
        <v>1</v>
      </c>
      <c r="K173" s="163">
        <f ca="1">IF(I173&gt;0,J173*100/I173,0)</f>
        <v>33.333333333333336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54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2" t="s">
        <v>83</v>
      </c>
      <c r="I176" s="283">
        <f ca="1">IFERROR(__xludf.DUMMYFUNCTION("IMPORTRANGE(""https://docs.google.com/spreadsheets/d/11923uPwbBZFjjGgGUA6NLw09EwE0CqkOc4q9oUmW1yo/edit?usp=sharing"",""พิจิตร!I101"")"),0)</f>
        <v>0</v>
      </c>
      <c r="J176" s="283">
        <f ca="1">IFERROR(__xludf.DUMMYFUNCTION("IMPORTRANGE(""https://docs.google.com/spreadsheets/d/11923uPwbBZFjjGgGUA6NLw09EwE0CqkOc4q9oUmW1yo/edit?usp=sharing"",""พิจิตร!J101"")"),0)</f>
        <v>0</v>
      </c>
      <c r="K176" s="284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7"/>
      <c r="B177" s="158"/>
      <c r="C177" s="158" t="s">
        <v>16</v>
      </c>
      <c r="D177" s="277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54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IFERROR(__xludf.DUMMYFUNCTION("IMPORTRANGE(""https://docs.google.com/spreadsheets/d/11923uPwbBZFjjGgGUA6NLw09EwE0CqkOc4q9oUmW1yo/edit?usp=sharing"",""พิจิตร!J113"")"),0)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5" t="s">
        <v>89</v>
      </c>
      <c r="I189" s="283">
        <f ca="1">IFERROR(__xludf.DUMMYFUNCTION("IMPORTRANGE(""https://docs.google.com/spreadsheets/d/11923uPwbBZFjjGgGUA6NLw09EwE0CqkOc4q9oUmW1yo/edit?usp=sharing"",""พิจิตร!I114"")"),20000)</f>
        <v>20000</v>
      </c>
      <c r="J189" s="283">
        <f ca="1">IFERROR(__xludf.DUMMYFUNCTION("IMPORTRANGE(""https://docs.google.com/spreadsheets/d/11923uPwbBZFjjGgGUA6NLw09EwE0CqkOc4q9oUmW1yo/edit?usp=sharing"",""พิจิตร!J114"")"),0)</f>
        <v>0</v>
      </c>
      <c r="K189" s="284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7"/>
      <c r="B190" s="158"/>
      <c r="C190" s="158" t="s">
        <v>16</v>
      </c>
      <c r="D190" s="277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54</v>
      </c>
      <c r="F203" s="237"/>
      <c r="G203" s="238"/>
      <c r="H203" s="239"/>
      <c r="I203" s="240"/>
      <c r="J203" s="286">
        <f ca="1">IFERROR(__xludf.DUMMYFUNCTION("IMPORTRANGE(""https://docs.google.com/spreadsheets/d/11923uPwbBZFjjGgGUA6NLw09EwE0CqkOc4q9oUmW1yo/edit?usp=sharing"",""พิจิตร!J128"")"),0)</f>
        <v>0</v>
      </c>
      <c r="K203" s="287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8" t="s">
        <v>94</v>
      </c>
      <c r="D204" s="271"/>
      <c r="E204" s="271"/>
      <c r="F204" s="271"/>
      <c r="G204" s="272"/>
      <c r="H204" s="285" t="s">
        <v>37</v>
      </c>
      <c r="I204" s="283">
        <f ca="1">IFERROR(__xludf.DUMMYFUNCTION("IMPORTRANGE(""https://docs.google.com/spreadsheets/d/11923uPwbBZFjjGgGUA6NLw09EwE0CqkOc4q9oUmW1yo/edit?usp=sharing"",""พิจิตร!I129"")"),0)</f>
        <v>0</v>
      </c>
      <c r="J204" s="283">
        <f ca="1">IFERROR(__xludf.DUMMYFUNCTION("IMPORTRANGE(""https://docs.google.com/spreadsheets/d/11923uPwbBZFjjGgGUA6NLw09EwE0CqkOc4q9oUmW1yo/edit?usp=sharing"",""พิจิตร!J129"")"),0)</f>
        <v>0</v>
      </c>
      <c r="K204" s="284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7"/>
      <c r="B205" s="158"/>
      <c r="C205" s="158" t="s">
        <v>16</v>
      </c>
      <c r="D205" s="277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54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IFERROR(__xludf.DUMMYFUNCTION("IMPORTRANGE(""https://docs.google.com/spreadsheets/d/11923uPwbBZFjjGgGUA6NLw09EwE0CqkOc4q9oUmW1yo/edit?usp=sharing"",""พิจิตร!J143"")"),0)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IFERROR(__xludf.DUMMYFUNCTION("IMPORTRANGE(""https://docs.google.com/spreadsheets/d/11923uPwbBZFjjGgGUA6NLw09EwE0CqkOc4q9oUmW1yo/edit?usp=sharing"",""พิจิตร!I144"")"),15)</f>
        <v>15</v>
      </c>
      <c r="J219" s="266">
        <f ca="1">IFERROR(__xludf.DUMMYFUNCTION("IMPORTRANGE(""https://docs.google.com/spreadsheets/d/11923uPwbBZFjjGgGUA6NLw09EwE0CqkOc4q9oUmW1yo/edit?usp=sharing"",""พิจิตร!J144"")"),15)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6"/>
      <c r="B220" s="147"/>
      <c r="C220" s="148" t="s">
        <v>16</v>
      </c>
      <c r="D220" s="515" t="s">
        <v>17</v>
      </c>
      <c r="E220" s="516"/>
      <c r="F220" s="516"/>
      <c r="G220" s="51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7"/>
      <c r="B223" s="158"/>
      <c r="C223" s="158" t="s">
        <v>16</v>
      </c>
      <c r="D223" s="521" t="s">
        <v>20</v>
      </c>
      <c r="E223" s="518"/>
      <c r="F223" s="518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3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1"/>
      <c r="C227" s="82" t="s">
        <v>16</v>
      </c>
      <c r="D227" s="517" t="s">
        <v>23</v>
      </c>
      <c r="E227" s="518"/>
      <c r="F227" s="89"/>
      <c r="G227" s="83" t="s">
        <v>18</v>
      </c>
      <c r="H227" s="171" t="s">
        <v>12</v>
      </c>
      <c r="I227" s="200"/>
      <c r="J227" s="200"/>
      <c r="K227" s="289"/>
      <c r="L227" s="42">
        <v>0</v>
      </c>
      <c r="M227" s="42"/>
      <c r="N227" s="42"/>
      <c r="O227" s="42"/>
      <c r="P227" s="42"/>
    </row>
    <row r="228" spans="1:16" ht="21.75" customHeight="1" x14ac:dyDescent="0.45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89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35">
      <c r="A229" s="175"/>
      <c r="B229" s="290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IFERROR(__xludf.DUMMYFUNCTION("IMPORTRANGE(""https://docs.google.com/spreadsheets/d/11923uPwbBZFjjGgGUA6NLw09EwE0CqkOc4q9oUmW1yo/edit?usp=sharing"",""พิจิตร!I149"")"),15)</f>
        <v>15</v>
      </c>
      <c r="J229" s="266">
        <f ca="1">IFERROR(__xludf.DUMMYFUNCTION("IMPORTRANGE(""https://docs.google.com/spreadsheets/d/11923uPwbBZFjjGgGUA6NLw09EwE0CqkOc4q9oUmW1yo/edit?usp=sharing"",""พิจิตร!J149"")"),15)</f>
        <v>15</v>
      </c>
      <c r="K229" s="267">
        <f ca="1">IF(I229&gt;0,J229*100/I229,0)</f>
        <v>100</v>
      </c>
      <c r="L229" s="291"/>
      <c r="M229" s="291"/>
      <c r="N229" s="291"/>
      <c r="O229" s="291"/>
      <c r="P229" s="291"/>
    </row>
    <row r="230" spans="1:16" ht="21.75" customHeight="1" x14ac:dyDescent="0.3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2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54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IFERROR(__xludf.DUMMYFUNCTION("IMPORTRANGE(""https://docs.google.com/spreadsheets/d/11923uPwbBZFjjGgGUA6NLw09EwE0CqkOc4q9oUmW1yo/edit?usp=sharing"",""พิจิตร!J157"")"),0)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3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IFERROR(__xludf.DUMMYFUNCTION("IMPORTRANGE(""https://docs.google.com/spreadsheets/d/11923uPwbBZFjjGgGUA6NLw09EwE0CqkOc4q9oUmW1yo/edit?usp=sharing"",""พิจิตร!I158"")"),0)</f>
        <v>0</v>
      </c>
      <c r="J238" s="266">
        <f ca="1">IFERROR(__xludf.DUMMYFUNCTION("IMPORTRANGE(""https://docs.google.com/spreadsheets/d/11923uPwbBZFjjGgGUA6NLw09EwE0CqkOc4q9oUmW1yo/edit?usp=sharing"",""พิจิตร!J158"")"),0)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54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IFERROR(__xludf.DUMMYFUNCTION("IMPORTRANGE(""https://docs.google.com/spreadsheets/d/11923uPwbBZFjjGgGUA6NLw09EwE0CqkOc4q9oUmW1yo/edit?usp=sharing"",""พิจิตร!J166"")"),0)</f>
        <v>0</v>
      </c>
      <c r="K246" s="287"/>
      <c r="L246" s="244"/>
      <c r="M246" s="244"/>
      <c r="N246" s="244"/>
      <c r="O246" s="244"/>
      <c r="P246" s="244"/>
    </row>
    <row r="247" spans="1:16" ht="21.75" customHeight="1" x14ac:dyDescent="0.35">
      <c r="A247" s="294" t="s">
        <v>102</v>
      </c>
      <c r="B247" s="295"/>
      <c r="C247" s="295"/>
      <c r="D247" s="295"/>
      <c r="E247" s="296"/>
      <c r="F247" s="296"/>
      <c r="G247" s="297"/>
      <c r="H247" s="298"/>
      <c r="I247" s="299"/>
      <c r="J247" s="299"/>
      <c r="K247" s="300"/>
      <c r="L247" s="301"/>
      <c r="M247" s="301"/>
      <c r="N247" s="301"/>
      <c r="O247" s="302"/>
      <c r="P247" s="302"/>
    </row>
    <row r="248" spans="1:16" ht="21.75" customHeight="1" x14ac:dyDescent="0.35">
      <c r="A248" s="303" t="s">
        <v>103</v>
      </c>
      <c r="B248" s="304"/>
      <c r="C248" s="304"/>
      <c r="D248" s="305"/>
      <c r="E248" s="305"/>
      <c r="F248" s="305"/>
      <c r="G248" s="306"/>
      <c r="H248" s="307"/>
      <c r="I248" s="308"/>
      <c r="J248" s="308"/>
      <c r="K248" s="309"/>
      <c r="L248" s="309"/>
      <c r="M248" s="309"/>
      <c r="N248" s="309"/>
      <c r="O248" s="310"/>
      <c r="P248" s="310"/>
    </row>
    <row r="249" spans="1:16" ht="21.75" customHeight="1" x14ac:dyDescent="0.35">
      <c r="A249" s="311"/>
      <c r="B249" s="312" t="s">
        <v>104</v>
      </c>
      <c r="C249" s="312"/>
      <c r="D249" s="312"/>
      <c r="E249" s="312"/>
      <c r="F249" s="312"/>
      <c r="G249" s="313"/>
      <c r="H249" s="314" t="s">
        <v>37</v>
      </c>
      <c r="I249" s="315">
        <f ca="1">IFERROR(__xludf.DUMMYFUNCTION("IMPORTRANGE(""https://docs.google.com/spreadsheets/d/11923uPwbBZFjjGgGUA6NLw09EwE0CqkOc4q9oUmW1yo/edit?usp=sharing"",""พิจิตร!I169"")"),0)</f>
        <v>0</v>
      </c>
      <c r="J249" s="315">
        <f ca="1">IFERROR(__xludf.DUMMYFUNCTION("IMPORTRANGE(""https://docs.google.com/spreadsheets/d/11923uPwbBZFjjGgGUA6NLw09EwE0CqkOc4q9oUmW1yo/edit?usp=sharing"",""พิจิตร!J169"")"),0)</f>
        <v>0</v>
      </c>
      <c r="K249" s="316">
        <f ca="1">IF(I249&gt;0,J249*100/I249,0)</f>
        <v>0</v>
      </c>
      <c r="L249" s="317"/>
      <c r="M249" s="317"/>
      <c r="N249" s="317"/>
      <c r="O249" s="316"/>
      <c r="P249" s="316"/>
    </row>
    <row r="250" spans="1:16" ht="21.75" customHeight="1" x14ac:dyDescent="0.45">
      <c r="A250" s="146"/>
      <c r="B250" s="147"/>
      <c r="C250" s="148" t="s">
        <v>16</v>
      </c>
      <c r="D250" s="515" t="s">
        <v>17</v>
      </c>
      <c r="E250" s="516"/>
      <c r="F250" s="516"/>
      <c r="G250" s="51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7"/>
      <c r="B253" s="158"/>
      <c r="C253" s="158" t="s">
        <v>16</v>
      </c>
      <c r="D253" s="521" t="s">
        <v>20</v>
      </c>
      <c r="E253" s="518"/>
      <c r="F253" s="518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3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1"/>
      <c r="C257" s="82" t="s">
        <v>16</v>
      </c>
      <c r="D257" s="517" t="s">
        <v>23</v>
      </c>
      <c r="E257" s="518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45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3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54</v>
      </c>
      <c r="F269" s="237"/>
      <c r="G269" s="238"/>
      <c r="H269" s="239"/>
      <c r="I269" s="240"/>
      <c r="J269" s="286">
        <f ca="1">IFERROR(__xludf.DUMMYFUNCTION("IMPORTRANGE(""https://docs.google.com/spreadsheets/d/11923uPwbBZFjjGgGUA6NLw09EwE0CqkOc4q9oUmW1yo/edit?usp=sharing"",""พิจิตร!J184"")"),0)</f>
        <v>0</v>
      </c>
      <c r="K269" s="287"/>
      <c r="L269" s="244"/>
      <c r="M269" s="244"/>
      <c r="N269" s="244"/>
      <c r="O269" s="244"/>
      <c r="P269" s="244"/>
    </row>
    <row r="270" spans="1:16" ht="21.75" customHeight="1" x14ac:dyDescent="0.35">
      <c r="A270" s="311"/>
      <c r="B270" s="312" t="s">
        <v>109</v>
      </c>
      <c r="C270" s="312"/>
      <c r="D270" s="312"/>
      <c r="E270" s="312"/>
      <c r="F270" s="312"/>
      <c r="G270" s="313"/>
      <c r="H270" s="314" t="s">
        <v>37</v>
      </c>
      <c r="I270" s="315">
        <f ca="1">IFERROR(__xludf.DUMMYFUNCTION("IMPORTRANGE(""https://docs.google.com/spreadsheets/d/11923uPwbBZFjjGgGUA6NLw09EwE0CqkOc4q9oUmW1yo/edit?usp=sharing"",""พิจิตร!I185"")"),0)</f>
        <v>0</v>
      </c>
      <c r="J270" s="315">
        <f ca="1">IFERROR(__xludf.DUMMYFUNCTION("IMPORTRANGE(""https://docs.google.com/spreadsheets/d/11923uPwbBZFjjGgGUA6NLw09EwE0CqkOc4q9oUmW1yo/edit?usp=sharing"",""พิจิตร!J185"")"),0)</f>
        <v>0</v>
      </c>
      <c r="K270" s="316">
        <f ca="1">IF(I270&gt;0,J270*100/I270,0)</f>
        <v>0</v>
      </c>
      <c r="L270" s="317"/>
      <c r="M270" s="317"/>
      <c r="N270" s="317"/>
      <c r="O270" s="316"/>
      <c r="P270" s="316"/>
    </row>
    <row r="271" spans="1:16" ht="21.75" customHeight="1" x14ac:dyDescent="0.45">
      <c r="A271" s="146"/>
      <c r="B271" s="147"/>
      <c r="C271" s="148" t="s">
        <v>16</v>
      </c>
      <c r="D271" s="515" t="s">
        <v>17</v>
      </c>
      <c r="E271" s="516"/>
      <c r="F271" s="516"/>
      <c r="G271" s="51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7"/>
      <c r="B274" s="158"/>
      <c r="C274" s="158" t="s">
        <v>16</v>
      </c>
      <c r="D274" s="521" t="s">
        <v>20</v>
      </c>
      <c r="E274" s="518"/>
      <c r="F274" s="518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3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1"/>
      <c r="C278" s="82" t="s">
        <v>16</v>
      </c>
      <c r="D278" s="517" t="s">
        <v>23</v>
      </c>
      <c r="E278" s="518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45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3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54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3" t="s">
        <v>111</v>
      </c>
      <c r="B288" s="304"/>
      <c r="C288" s="304"/>
      <c r="D288" s="305"/>
      <c r="E288" s="304"/>
      <c r="F288" s="304"/>
      <c r="G288" s="318"/>
      <c r="H288" s="319"/>
      <c r="I288" s="320"/>
      <c r="J288" s="320"/>
      <c r="K288" s="321"/>
      <c r="L288" s="321"/>
      <c r="M288" s="321"/>
      <c r="N288" s="321"/>
      <c r="O288" s="310"/>
      <c r="P288" s="310"/>
    </row>
    <row r="289" spans="1:16" ht="21.75" customHeight="1" x14ac:dyDescent="0.35">
      <c r="A289" s="322"/>
      <c r="B289" s="312" t="s">
        <v>112</v>
      </c>
      <c r="C289" s="323"/>
      <c r="D289" s="324"/>
      <c r="E289" s="312"/>
      <c r="F289" s="312"/>
      <c r="G289" s="313"/>
      <c r="H289" s="314" t="s">
        <v>37</v>
      </c>
      <c r="I289" s="315">
        <f ca="1">IFERROR(__xludf.DUMMYFUNCTION("IMPORTRANGE(""https://docs.google.com/spreadsheets/d/11923uPwbBZFjjGgGUA6NLw09EwE0CqkOc4q9oUmW1yo/edit?usp=sharing"",""พิจิตร!I199"")"),0)</f>
        <v>0</v>
      </c>
      <c r="J289" s="315">
        <f ca="1">IFERROR(__xludf.DUMMYFUNCTION("IMPORTRANGE(""https://docs.google.com/spreadsheets/d/11923uPwbBZFjjGgGUA6NLw09EwE0CqkOc4q9oUmW1yo/edit?usp=sharing"",""พิจิตร!J199"")"),0)</f>
        <v>0</v>
      </c>
      <c r="K289" s="316">
        <f ca="1">IF(I289&gt;0,J289*100/I289,0)</f>
        <v>0</v>
      </c>
      <c r="L289" s="317"/>
      <c r="M289" s="317"/>
      <c r="N289" s="317"/>
      <c r="O289" s="316"/>
      <c r="P289" s="316"/>
    </row>
    <row r="290" spans="1:16" ht="21.75" customHeight="1" x14ac:dyDescent="0.45">
      <c r="A290" s="146"/>
      <c r="B290" s="147"/>
      <c r="C290" s="148" t="s">
        <v>16</v>
      </c>
      <c r="D290" s="515" t="s">
        <v>17</v>
      </c>
      <c r="E290" s="516"/>
      <c r="F290" s="516"/>
      <c r="G290" s="516"/>
      <c r="H290" s="149" t="s">
        <v>12</v>
      </c>
      <c r="I290" s="187"/>
      <c r="J290" s="187"/>
      <c r="K290" s="223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3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3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7"/>
      <c r="B293" s="158"/>
      <c r="C293" s="158" t="s">
        <v>16</v>
      </c>
      <c r="D293" s="521" t="s">
        <v>20</v>
      </c>
      <c r="E293" s="518"/>
      <c r="F293" s="518"/>
      <c r="G293" s="160" t="s">
        <v>38</v>
      </c>
      <c r="H293" s="161" t="s">
        <v>12</v>
      </c>
      <c r="I293" s="187" t="s">
        <v>39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3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1"/>
      <c r="C297" s="82" t="s">
        <v>16</v>
      </c>
      <c r="D297" s="517" t="s">
        <v>23</v>
      </c>
      <c r="E297" s="518"/>
      <c r="F297" s="89"/>
      <c r="G297" s="83" t="s">
        <v>18</v>
      </c>
      <c r="H297" s="171" t="s">
        <v>12</v>
      </c>
      <c r="I297" s="187"/>
      <c r="J297" s="187"/>
      <c r="K297" s="223"/>
      <c r="L297" s="42">
        <v>0</v>
      </c>
      <c r="M297" s="42"/>
      <c r="N297" s="42"/>
      <c r="O297" s="42"/>
      <c r="P297" s="42"/>
    </row>
    <row r="298" spans="1:16" ht="21.75" customHeight="1" x14ac:dyDescent="0.45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3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3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3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54</v>
      </c>
      <c r="F308" s="207"/>
      <c r="G308" s="208"/>
      <c r="H308" s="186"/>
      <c r="I308" s="187"/>
      <c r="J308" s="325">
        <f ca="1">IFERROR(__xludf.DUMMYFUNCTION("IMPORTRANGE(""https://docs.google.com/spreadsheets/d/11923uPwbBZFjjGgGUA6NLw09EwE0CqkOc4q9oUmW1yo/edit?usp=sharing"",""พิจิตร!J213"")"),0)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6"/>
      <c r="B309" s="327" t="s">
        <v>115</v>
      </c>
      <c r="C309" s="328"/>
      <c r="D309" s="329"/>
      <c r="E309" s="327"/>
      <c r="F309" s="327"/>
      <c r="G309" s="330"/>
      <c r="H309" s="331" t="s">
        <v>116</v>
      </c>
      <c r="I309" s="332">
        <f ca="1">IFERROR(__xludf.DUMMYFUNCTION("IMPORTRANGE(""https://docs.google.com/spreadsheets/d/11923uPwbBZFjjGgGUA6NLw09EwE0CqkOc4q9oUmW1yo/edit?usp=sharing"",""พิจิตร!I214"")"),0)</f>
        <v>0</v>
      </c>
      <c r="J309" s="332">
        <f ca="1">IFERROR(__xludf.DUMMYFUNCTION("IMPORTRANGE(""https://docs.google.com/spreadsheets/d/11923uPwbBZFjjGgGUA6NLw09EwE0CqkOc4q9oUmW1yo/edit?usp=sharing"",""พิจิตร!J214"")"),0)</f>
        <v>0</v>
      </c>
      <c r="K309" s="333">
        <f ca="1">IF(I309&gt;0,J309*100/I309,0)</f>
        <v>0</v>
      </c>
      <c r="L309" s="334"/>
      <c r="M309" s="334"/>
      <c r="N309" s="334"/>
      <c r="O309" s="333"/>
      <c r="P309" s="333"/>
    </row>
    <row r="310" spans="1:16" ht="21.75" customHeight="1" x14ac:dyDescent="0.45">
      <c r="A310" s="146"/>
      <c r="B310" s="147"/>
      <c r="C310" s="148" t="s">
        <v>16</v>
      </c>
      <c r="D310" s="515" t="s">
        <v>17</v>
      </c>
      <c r="E310" s="516"/>
      <c r="F310" s="516"/>
      <c r="G310" s="516"/>
      <c r="H310" s="149" t="s">
        <v>12</v>
      </c>
      <c r="I310" s="335"/>
      <c r="J310" s="335"/>
      <c r="K310" s="336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5"/>
      <c r="J311" s="335"/>
      <c r="K311" s="336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5"/>
      <c r="J312" s="335"/>
      <c r="K312" s="336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7"/>
      <c r="B313" s="158"/>
      <c r="C313" s="158" t="s">
        <v>16</v>
      </c>
      <c r="D313" s="521" t="s">
        <v>20</v>
      </c>
      <c r="E313" s="518"/>
      <c r="F313" s="518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3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1"/>
      <c r="C317" s="82" t="s">
        <v>16</v>
      </c>
      <c r="D317" s="517" t="s">
        <v>23</v>
      </c>
      <c r="E317" s="518"/>
      <c r="F317" s="89"/>
      <c r="G317" s="83" t="s">
        <v>18</v>
      </c>
      <c r="H317" s="171" t="s">
        <v>12</v>
      </c>
      <c r="I317" s="162"/>
      <c r="J317" s="187"/>
      <c r="K317" s="223"/>
      <c r="L317" s="42">
        <v>0</v>
      </c>
      <c r="M317" s="42"/>
      <c r="N317" s="42"/>
      <c r="O317" s="42"/>
      <c r="P317" s="42"/>
    </row>
    <row r="318" spans="1:16" ht="21.75" customHeight="1" x14ac:dyDescent="0.45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3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3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3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54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IFERROR(__xludf.DUMMYFUNCTION("IMPORTRANGE(""https://docs.google.com/spreadsheets/d/11923uPwbBZFjjGgGUA6NLw09EwE0CqkOc4q9oUmW1yo/edit?usp=sharing"",""พิจิตร!J226"")"),0)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3" t="s">
        <v>118</v>
      </c>
      <c r="B327" s="304"/>
      <c r="C327" s="304"/>
      <c r="D327" s="305"/>
      <c r="E327" s="304"/>
      <c r="F327" s="304"/>
      <c r="G327" s="318"/>
      <c r="H327" s="307"/>
      <c r="I327" s="308"/>
      <c r="J327" s="308"/>
      <c r="K327" s="309"/>
      <c r="L327" s="309"/>
      <c r="M327" s="309"/>
      <c r="N327" s="309"/>
      <c r="O327" s="310"/>
      <c r="P327" s="310"/>
    </row>
    <row r="328" spans="1:16" ht="21.75" customHeight="1" x14ac:dyDescent="0.35">
      <c r="A328" s="311"/>
      <c r="B328" s="337" t="s">
        <v>119</v>
      </c>
      <c r="C328" s="324"/>
      <c r="D328" s="312"/>
      <c r="E328" s="312"/>
      <c r="F328" s="312"/>
      <c r="G328" s="313"/>
      <c r="H328" s="314" t="s">
        <v>37</v>
      </c>
      <c r="I328" s="338">
        <f ca="1">IFERROR(__xludf.DUMMYFUNCTION("IMPORTRANGE(""https://docs.google.com/spreadsheets/d/11923uPwbBZFjjGgGUA6NLw09EwE0CqkOc4q9oUmW1yo/edit?usp=sharing"",""พิจิตร!I228"")"),130)</f>
        <v>130</v>
      </c>
      <c r="J328" s="338">
        <f ca="1">IFERROR(__xludf.DUMMYFUNCTION("IMPORTRANGE(""https://docs.google.com/spreadsheets/d/11923uPwbBZFjjGgGUA6NLw09EwE0CqkOc4q9oUmW1yo/edit?usp=sharing"",""พิจิตร!J228"")"),56)</f>
        <v>56</v>
      </c>
      <c r="K328" s="316">
        <f ca="1">IF(I328&gt;0,J328*100/I328,0)</f>
        <v>43.07692307692308</v>
      </c>
      <c r="L328" s="317"/>
      <c r="M328" s="317"/>
      <c r="N328" s="317"/>
      <c r="O328" s="316"/>
      <c r="P328" s="316"/>
    </row>
    <row r="329" spans="1:16" ht="21.75" customHeight="1" x14ac:dyDescent="0.45">
      <c r="A329" s="146"/>
      <c r="B329" s="147"/>
      <c r="C329" s="148" t="s">
        <v>16</v>
      </c>
      <c r="D329" s="515" t="s">
        <v>17</v>
      </c>
      <c r="E329" s="516"/>
      <c r="F329" s="516"/>
      <c r="G329" s="516"/>
      <c r="H329" s="149" t="s">
        <v>12</v>
      </c>
      <c r="I329" s="162"/>
      <c r="J329" s="162"/>
      <c r="K329" s="163"/>
      <c r="L329" s="152">
        <f t="shared" ref="L329:N329" ca="1" si="98">L330+L331</f>
        <v>1253340</v>
      </c>
      <c r="M329" s="152">
        <f t="shared" ca="1" si="98"/>
        <v>958350</v>
      </c>
      <c r="N329" s="152">
        <f t="shared" ca="1" si="98"/>
        <v>623981.09</v>
      </c>
      <c r="O329" s="151">
        <f t="shared" ref="O329:O331" ca="1" si="99">IF(L329&gt;0,N329*100/L329,0)</f>
        <v>49.78546044967846</v>
      </c>
      <c r="P329" s="151">
        <f t="shared" ref="P329:P331" ca="1" si="100">IF(M329&gt;0,N329*100/M329,0)</f>
        <v>65.109937914123236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1253340</v>
      </c>
      <c r="M331" s="88">
        <f t="shared" ca="1" si="102"/>
        <v>958350</v>
      </c>
      <c r="N331" s="88">
        <f t="shared" ca="1" si="102"/>
        <v>623981.09</v>
      </c>
      <c r="O331" s="156">
        <f t="shared" ca="1" si="99"/>
        <v>49.78546044967846</v>
      </c>
      <c r="P331" s="156">
        <f t="shared" ca="1" si="100"/>
        <v>65.109937914123236</v>
      </c>
    </row>
    <row r="332" spans="1:16" ht="21.75" customHeight="1" x14ac:dyDescent="0.45">
      <c r="A332" s="157"/>
      <c r="B332" s="158"/>
      <c r="C332" s="158" t="s">
        <v>16</v>
      </c>
      <c r="D332" s="521" t="s">
        <v>20</v>
      </c>
      <c r="E332" s="518"/>
      <c r="F332" s="518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1177740</v>
      </c>
      <c r="M333" s="167">
        <f ca="1">IFERROR(__xludf.DUMMYFUNCTION("IMPORTRANGE(""https://docs.google.com/spreadsheets/d/1Yj_ptqi66GCucihVvJfMjLAmec39IyEx_6qawtMGysU/edit?usp=sharing"",""สบก!DL27"")"),882750)</f>
        <v>882750</v>
      </c>
      <c r="N333" s="168">
        <f ca="1">IFERROR(__xludf.DUMMYFUNCTION("IMPORTRANGE(""https://docs.google.com/spreadsheets/d/1Yj_ptqi66GCucihVvJfMjLAmec39IyEx_6qawtMGysU/edit?usp=sharing"",""สบก!DM27"")"),548381.09)</f>
        <v>548381.09</v>
      </c>
      <c r="O333" s="168">
        <f ca="1">IF(L333&gt;0,N333*100/L333,0)</f>
        <v>46.562152087897161</v>
      </c>
      <c r="P333" s="168">
        <f ca="1">IF(M333&gt;0,N333*100/M333,0)</f>
        <v>62.121902010761822</v>
      </c>
    </row>
    <row r="334" spans="1:16" ht="21.75" customHeight="1" x14ac:dyDescent="0.3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3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IFERROR(__xludf.DUMMYFUNCTION("IMPORTRANGE(""https://docs.google.com/spreadsheets/d/1Yj_ptqi66GCucihVvJfMjLAmec39IyEx_6qawtMGysU/edit?usp=sharing"",""สบก!DI27"")"),323140)</f>
        <v>323140</v>
      </c>
      <c r="M335" s="167"/>
      <c r="N335" s="167"/>
      <c r="O335" s="168"/>
      <c r="P335" s="168"/>
    </row>
    <row r="336" spans="1:16" ht="21.75" customHeight="1" x14ac:dyDescent="0.45">
      <c r="A336" s="170"/>
      <c r="B336" s="81"/>
      <c r="C336" s="82" t="s">
        <v>16</v>
      </c>
      <c r="D336" s="517" t="s">
        <v>23</v>
      </c>
      <c r="E336" s="518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45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35">
      <c r="A338" s="175"/>
      <c r="B338" s="290"/>
      <c r="C338" s="339" t="s">
        <v>120</v>
      </c>
      <c r="D338" s="195"/>
      <c r="E338" s="195"/>
      <c r="F338" s="195"/>
      <c r="G338" s="196"/>
      <c r="H338" s="180"/>
      <c r="I338" s="340"/>
      <c r="J338" s="340"/>
      <c r="K338" s="341"/>
      <c r="L338" s="181"/>
      <c r="M338" s="181"/>
      <c r="N338" s="181"/>
      <c r="O338" s="342"/>
      <c r="P338" s="342"/>
    </row>
    <row r="339" spans="1:16" ht="21.75" customHeight="1" x14ac:dyDescent="0.35">
      <c r="A339" s="175"/>
      <c r="B339" s="290"/>
      <c r="C339" s="176"/>
      <c r="D339" s="195"/>
      <c r="E339" s="194" t="s">
        <v>121</v>
      </c>
      <c r="F339" s="195"/>
      <c r="G339" s="196"/>
      <c r="H339" s="343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IFERROR(__xludf.DUMMYFUNCTION("IMPORTRANGE(""https://docs.google.com/spreadsheets/d/11923uPwbBZFjjGgGUA6NLw09EwE0CqkOc4q9oUmW1yo/edit?usp=sharing"",""พิจิตร!J234"")"),43)</f>
        <v>43</v>
      </c>
      <c r="K339" s="341">
        <f t="shared" ref="K339:K346" ca="1" si="103">IF(I339&gt;0,J339*100/I339,0)</f>
        <v>0</v>
      </c>
      <c r="L339" s="181"/>
      <c r="M339" s="181"/>
      <c r="N339" s="181"/>
      <c r="O339" s="342"/>
      <c r="P339" s="342"/>
    </row>
    <row r="340" spans="1:16" ht="21.75" customHeight="1" x14ac:dyDescent="0.35">
      <c r="A340" s="175"/>
      <c r="B340" s="290"/>
      <c r="C340" s="176"/>
      <c r="D340" s="195"/>
      <c r="E340" s="195"/>
      <c r="F340" s="195"/>
      <c r="G340" s="196"/>
      <c r="H340" s="343" t="s">
        <v>122</v>
      </c>
      <c r="I340" s="187">
        <f ca="1">IFERROR(__xludf.DUMMYFUNCTION("IMPORTRANGE(""https://docs.google.com/spreadsheets/d/11923uPwbBZFjjGgGUA6NLw09EwE0CqkOc4q9oUmW1yo/edit?usp=sharing"",""พิจิตร!I235"")"),1000)</f>
        <v>1000</v>
      </c>
      <c r="J340" s="187">
        <f ca="1">IFERROR(__xludf.DUMMYFUNCTION("IMPORTRANGE(""https://docs.google.com/spreadsheets/d/11923uPwbBZFjjGgGUA6NLw09EwE0CqkOc4q9oUmW1yo/edit?usp=sharing"",""พิจิตร!J235"")"),394.49)</f>
        <v>394.49</v>
      </c>
      <c r="K340" s="341">
        <f t="shared" ca="1" si="103"/>
        <v>39.448999999999998</v>
      </c>
      <c r="L340" s="181"/>
      <c r="M340" s="181"/>
      <c r="N340" s="181"/>
      <c r="O340" s="342"/>
      <c r="P340" s="342"/>
    </row>
    <row r="341" spans="1:16" ht="21.75" customHeight="1" x14ac:dyDescent="0.35">
      <c r="A341" s="175"/>
      <c r="B341" s="290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IFERROR(__xludf.DUMMYFUNCTION("IMPORTRANGE(""https://docs.google.com/spreadsheets/d/11923uPwbBZFjjGgGUA6NLw09EwE0CqkOc4q9oUmW1yo/edit?usp=sharing"",""พิจิตร!I236"")"),130)</f>
        <v>130</v>
      </c>
      <c r="J341" s="187">
        <f ca="1">IFERROR(__xludf.DUMMYFUNCTION("IMPORTRANGE(""https://docs.google.com/spreadsheets/d/11923uPwbBZFjjGgGUA6NLw09EwE0CqkOc4q9oUmW1yo/edit?usp=sharing"",""พิจิตร!J236"")"),93)</f>
        <v>93</v>
      </c>
      <c r="K341" s="341">
        <f t="shared" ca="1" si="103"/>
        <v>71.538461538461533</v>
      </c>
      <c r="L341" s="181"/>
      <c r="M341" s="181"/>
      <c r="N341" s="181"/>
      <c r="O341" s="342"/>
      <c r="P341" s="342"/>
    </row>
    <row r="342" spans="1:16" ht="21.75" customHeight="1" x14ac:dyDescent="0.35">
      <c r="A342" s="175"/>
      <c r="B342" s="290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IFERROR(__xludf.DUMMYFUNCTION("IMPORTRANGE(""https://docs.google.com/spreadsheets/d/11923uPwbBZFjjGgGUA6NLw09EwE0CqkOc4q9oUmW1yo/edit?usp=sharing"",""พิจิตร!J237"")"),1199.45)</f>
        <v>1199.45</v>
      </c>
      <c r="K342" s="341">
        <f t="shared" ca="1" si="103"/>
        <v>0</v>
      </c>
      <c r="L342" s="181"/>
      <c r="M342" s="181"/>
      <c r="N342" s="181"/>
      <c r="O342" s="342"/>
      <c r="P342" s="342"/>
    </row>
    <row r="343" spans="1:16" ht="21.75" customHeight="1" x14ac:dyDescent="0.35">
      <c r="A343" s="175"/>
      <c r="B343" s="290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IFERROR(__xludf.DUMMYFUNCTION("IMPORTRANGE(""https://docs.google.com/spreadsheets/d/11923uPwbBZFjjGgGUA6NLw09EwE0CqkOc4q9oUmW1yo/edit?usp=sharing"",""พิจิตร!I238"")"),130)</f>
        <v>130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1">
        <f t="shared" ca="1" si="103"/>
        <v>0</v>
      </c>
      <c r="L343" s="181"/>
      <c r="M343" s="181"/>
      <c r="N343" s="181"/>
      <c r="O343" s="342"/>
      <c r="P343" s="342"/>
    </row>
    <row r="344" spans="1:16" ht="21.75" customHeight="1" x14ac:dyDescent="0.35">
      <c r="A344" s="175"/>
      <c r="B344" s="290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1">
        <f t="shared" ca="1" si="103"/>
        <v>0</v>
      </c>
      <c r="L344" s="181"/>
      <c r="M344" s="181"/>
      <c r="N344" s="181"/>
      <c r="O344" s="342"/>
      <c r="P344" s="342"/>
    </row>
    <row r="345" spans="1:16" ht="21.75" customHeight="1" x14ac:dyDescent="0.35">
      <c r="A345" s="175"/>
      <c r="B345" s="290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IFERROR(__xludf.DUMMYFUNCTION("IMPORTRANGE(""https://docs.google.com/spreadsheets/d/11923uPwbBZFjjGgGUA6NLw09EwE0CqkOc4q9oUmW1yo/edit?usp=sharing"",""พิจิตร!I240"")"),130)</f>
        <v>130</v>
      </c>
      <c r="J345" s="187">
        <f ca="1">IFERROR(__xludf.DUMMYFUNCTION("IMPORTRANGE(""https://docs.google.com/spreadsheets/d/11923uPwbBZFjjGgGUA6NLw09EwE0CqkOc4q9oUmW1yo/edit?usp=sharing"",""พิจิตร!J240"")"),56)</f>
        <v>56</v>
      </c>
      <c r="K345" s="341">
        <f t="shared" ca="1" si="103"/>
        <v>43.07692307692308</v>
      </c>
      <c r="L345" s="181"/>
      <c r="M345" s="181"/>
      <c r="N345" s="181"/>
      <c r="O345" s="342"/>
      <c r="P345" s="342"/>
    </row>
    <row r="346" spans="1:16" ht="21.75" customHeight="1" x14ac:dyDescent="0.35">
      <c r="A346" s="233"/>
      <c r="B346" s="345"/>
      <c r="C346" s="234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IFERROR(__xludf.DUMMYFUNCTION("IMPORTRANGE(""https://docs.google.com/spreadsheets/d/11923uPwbBZFjjGgGUA6NLw09EwE0CqkOc4q9oUmW1yo/edit?usp=sharing"",""พิจิตร!J241"")"),801.81)</f>
        <v>801.81</v>
      </c>
      <c r="K346" s="350">
        <f t="shared" ca="1" si="103"/>
        <v>0</v>
      </c>
      <c r="L346" s="244"/>
      <c r="M346" s="244"/>
      <c r="N346" s="244"/>
      <c r="O346" s="351"/>
      <c r="P346" s="351"/>
    </row>
    <row r="347" spans="1:16" ht="21.75" customHeight="1" x14ac:dyDescent="0.3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IFERROR(__xludf.DUMMYFUNCTION("IMPORTRANGE(""https://docs.google.com/spreadsheets/d/11923uPwbBZFjjGgGUA6NLw09EwE0CqkOc4q9oUmW1yo/edit?usp=sharing"",""พิจิตร!L242"")"),2009546.81999999)</f>
        <v>2009546.8199999901</v>
      </c>
      <c r="M347" s="357"/>
      <c r="N347" s="357">
        <f ca="1">IFERROR(__xludf.DUMMYFUNCTION("IMPORTRANGE(""https://docs.google.com/spreadsheets/d/11923uPwbBZFjjGgGUA6NLw09EwE0CqkOc4q9oUmW1yo/edit?usp=sharing"",""พิจิตร!M242"")"),576743.63)</f>
        <v>576743.63</v>
      </c>
      <c r="O347" s="357">
        <f ca="1">+IF(L347&gt;0,N347*100/L347,0)</f>
        <v>28.700183755858092</v>
      </c>
      <c r="P347" s="357"/>
    </row>
    <row r="348" spans="1:16" ht="21.75" customHeight="1" x14ac:dyDescent="0.3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3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IFERROR(__xludf.DUMMYFUNCTION("IMPORTRANGE(""https://docs.google.com/spreadsheets/d/11923uPwbBZFjjGgGUA6NLw09EwE0CqkOc4q9oUmW1yo/edit?usp=sharing"",""พิจิตร!M244"")"),100627.7)</f>
        <v>100627.7</v>
      </c>
      <c r="O349" s="372">
        <f ca="1">+IF(L349&gt;0,N349*100/L349,0)</f>
        <v>24.755879748081085</v>
      </c>
      <c r="P349" s="372"/>
    </row>
    <row r="350" spans="1:16" ht="21.75" customHeight="1" x14ac:dyDescent="0.3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35">
      <c r="A351" s="157"/>
      <c r="B351" s="158"/>
      <c r="C351" s="158" t="s">
        <v>16</v>
      </c>
      <c r="D351" s="277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IFERROR(__xludf.DUMMYFUNCTION("IMPORTRANGE(""https://docs.google.com/spreadsheets/d/11923uPwbBZFjjGgGUA6NLw09EwE0CqkOc4q9oUmW1yo/edit?usp=sharing"",""พิจิตร!M247"")"),100627.7)</f>
        <v>100627.7</v>
      </c>
      <c r="O352" s="165">
        <f t="shared" ca="1" si="105"/>
        <v>24.755879748081085</v>
      </c>
      <c r="P352" s="165"/>
    </row>
    <row r="353" spans="1:16" ht="21.75" customHeight="1" x14ac:dyDescent="0.3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IFERROR(__xludf.DUMMYFUNCTION("IMPORTRANGE(""https://docs.google.com/spreadsheets/d/11923uPwbBZFjjGgGUA6NLw09EwE0CqkOc4q9oUmW1yo/edit?usp=sharing"",""พิจิตร!M249"")"),100627.7)</f>
        <v>100627.7</v>
      </c>
      <c r="O354" s="168">
        <f t="shared" ca="1" si="105"/>
        <v>24.755879748081085</v>
      </c>
      <c r="P354" s="168"/>
    </row>
    <row r="355" spans="1:16" ht="21.75" customHeight="1" x14ac:dyDescent="0.3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3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IFERROR(__xludf.DUMMYFUNCTION("IMPORTRANGE(""https://docs.google.com/spreadsheets/d/11923uPwbBZFjjGgGUA6NLw09EwE0CqkOc4q9oUmW1yo/edit?usp=sharing"",""พิจิตร!M250"")"),41076)</f>
        <v>41076</v>
      </c>
      <c r="O355" s="168"/>
      <c r="P355" s="168"/>
    </row>
    <row r="356" spans="1:16" ht="21.75" customHeight="1" x14ac:dyDescent="0.3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3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IFERROR(__xludf.DUMMYFUNCTION("IMPORTRANGE(""https://docs.google.com/spreadsheets/d/11923uPwbBZFjjGgGUA6NLw09EwE0CqkOc4q9oUmW1yo/edit?usp=sharing"",""พิจิตร!M251"")"),0)</f>
        <v>0</v>
      </c>
      <c r="O356" s="168"/>
      <c r="P356" s="168"/>
    </row>
    <row r="357" spans="1:16" ht="21.75" customHeight="1" x14ac:dyDescent="0.3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3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IFERROR(__xludf.DUMMYFUNCTION("IMPORTRANGE(""https://docs.google.com/spreadsheets/d/11923uPwbBZFjjGgGUA6NLw09EwE0CqkOc4q9oUmW1yo/edit?usp=sharing"",""พิจิตร!M252"")"),58051.7)</f>
        <v>58051.7</v>
      </c>
      <c r="O357" s="168"/>
      <c r="P357" s="168"/>
    </row>
    <row r="358" spans="1:16" ht="21.75" customHeight="1" x14ac:dyDescent="0.3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3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IFERROR(__xludf.DUMMYFUNCTION("IMPORTRANGE(""https://docs.google.com/spreadsheets/d/11923uPwbBZFjjGgGUA6NLw09EwE0CqkOc4q9oUmW1yo/edit?usp=sharing"",""พิจิตร!M253"")"),1500)</f>
        <v>1500</v>
      </c>
      <c r="O358" s="168"/>
      <c r="P358" s="168"/>
    </row>
    <row r="359" spans="1:16" ht="21.75" customHeight="1" x14ac:dyDescent="0.3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292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292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52</v>
      </c>
      <c r="G375" s="196"/>
      <c r="H375" s="279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80" t="s">
        <v>143</v>
      </c>
      <c r="H376" s="279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80" t="s">
        <v>144</v>
      </c>
      <c r="H377" s="279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54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IFERROR(__xludf.DUMMYFUNCTION("IMPORTRANGE(""https://docs.google.com/spreadsheets/d/11923uPwbBZFjjGgGUA6NLw09EwE0CqkOc4q9oUmW1yo/edit?usp=sharing"",""พิจิตร!M275"")"),32611)</f>
        <v>32611</v>
      </c>
      <c r="O380" s="372">
        <f ca="1">+IF(L380&gt;0,N380*100/L380,0)</f>
        <v>15.711601464636731</v>
      </c>
      <c r="P380" s="372"/>
    </row>
    <row r="381" spans="1:16" ht="21.75" customHeight="1" x14ac:dyDescent="0.3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35">
      <c r="A382" s="157"/>
      <c r="B382" s="158"/>
      <c r="C382" s="158" t="s">
        <v>16</v>
      </c>
      <c r="D382" s="277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IFERROR(__xludf.DUMMYFUNCTION("IMPORTRANGE(""https://docs.google.com/spreadsheets/d/11923uPwbBZFjjGgGUA6NLw09EwE0CqkOc4q9oUmW1yo/edit?usp=sharing"",""พิจิตร!M278"")"),32611)</f>
        <v>32611</v>
      </c>
      <c r="O383" s="165">
        <f t="shared" ca="1" si="109"/>
        <v>15.711601464636731</v>
      </c>
      <c r="P383" s="165"/>
    </row>
    <row r="384" spans="1:16" ht="21.75" customHeight="1" x14ac:dyDescent="0.3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IFERROR(__xludf.DUMMYFUNCTION("IMPORTRANGE(""https://docs.google.com/spreadsheets/d/11923uPwbBZFjjGgGUA6NLw09EwE0CqkOc4q9oUmW1yo/edit?usp=sharing"",""พิจิตร!M280"")"),32611)</f>
        <v>32611</v>
      </c>
      <c r="O385" s="168">
        <f t="shared" ca="1" si="109"/>
        <v>15.711601464636731</v>
      </c>
      <c r="P385" s="168"/>
    </row>
    <row r="386" spans="1:16" ht="21.75" customHeight="1" x14ac:dyDescent="0.3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3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3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3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IFERROR(__xludf.DUMMYFUNCTION("IMPORTRANGE(""https://docs.google.com/spreadsheets/d/11923uPwbBZFjjGgGUA6NLw09EwE0CqkOc4q9oUmW1yo/edit?usp=sharing"",""พิจิตร!M282"")"),0)</f>
        <v>0</v>
      </c>
      <c r="O387" s="168"/>
      <c r="P387" s="168"/>
    </row>
    <row r="388" spans="1:16" ht="21.75" customHeight="1" x14ac:dyDescent="0.3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3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3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3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IFERROR(__xludf.DUMMYFUNCTION("IMPORTRANGE(""https://docs.google.com/spreadsheets/d/11923uPwbBZFjjGgGUA6NLw09EwE0CqkOc4q9oUmW1yo/edit?usp=sharing"",""พิจิตร!M284"")"),4995)</f>
        <v>4995</v>
      </c>
      <c r="O389" s="168"/>
      <c r="P389" s="168"/>
    </row>
    <row r="390" spans="1:16" ht="21.75" customHeight="1" x14ac:dyDescent="0.3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2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54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IFERROR(__xludf.DUMMYFUNCTION("IMPORTRANGE(""https://docs.google.com/spreadsheets/d/11923uPwbBZFjjGgGUA6NLw09EwE0CqkOc4q9oUmW1yo/edit?usp=sharing"",""พิจิตร!M296"")"),113749)</f>
        <v>113749</v>
      </c>
      <c r="O401" s="372">
        <f ca="1">+IF(L401&gt;0,N401*100/L401,0)</f>
        <v>58.064828994384889</v>
      </c>
      <c r="P401" s="372"/>
    </row>
    <row r="402" spans="1:16" ht="21.75" customHeight="1" x14ac:dyDescent="0.3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35">
      <c r="A403" s="157"/>
      <c r="B403" s="158"/>
      <c r="C403" s="158" t="s">
        <v>16</v>
      </c>
      <c r="D403" s="277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IFERROR(__xludf.DUMMYFUNCTION("IMPORTRANGE(""https://docs.google.com/spreadsheets/d/11923uPwbBZFjjGgGUA6NLw09EwE0CqkOc4q9oUmW1yo/edit?usp=sharing"",""พิจิตร!M299"")"),113749)</f>
        <v>113749</v>
      </c>
      <c r="O404" s="168">
        <f t="shared" ca="1" si="112"/>
        <v>58.064828994384889</v>
      </c>
      <c r="P404" s="168"/>
    </row>
    <row r="405" spans="1:16" ht="21.75" customHeight="1" x14ac:dyDescent="0.3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IFERROR(__xludf.DUMMYFUNCTION("IMPORTRANGE(""https://docs.google.com/spreadsheets/d/11923uPwbBZFjjGgGUA6NLw09EwE0CqkOc4q9oUmW1yo/edit?usp=sharing"",""พิจิตร!M301"")"),113749)</f>
        <v>113749</v>
      </c>
      <c r="O406" s="168">
        <f t="shared" ca="1" si="112"/>
        <v>58.064828994384889</v>
      </c>
      <c r="P406" s="168"/>
    </row>
    <row r="407" spans="1:16" ht="21.75" customHeight="1" x14ac:dyDescent="0.3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3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3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3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IFERROR(__xludf.DUMMYFUNCTION("IMPORTRANGE(""https://docs.google.com/spreadsheets/d/11923uPwbBZFjjGgGUA6NLw09EwE0CqkOc4q9oUmW1yo/edit?usp=sharing"",""พิจิตร!M303"")"),0)</f>
        <v>0</v>
      </c>
      <c r="O408" s="168"/>
      <c r="P408" s="168"/>
    </row>
    <row r="409" spans="1:16" ht="21.75" customHeight="1" x14ac:dyDescent="0.3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3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3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3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IFERROR(__xludf.DUMMYFUNCTION("IMPORTRANGE(""https://docs.google.com/spreadsheets/d/11923uPwbBZFjjGgGUA6NLw09EwE0CqkOc4q9oUmW1yo/edit?usp=sharing"",""พิจิตร!M305"")"),15200)</f>
        <v>15200</v>
      </c>
      <c r="O410" s="168"/>
      <c r="P410" s="168"/>
    </row>
    <row r="411" spans="1:16" ht="21.75" customHeight="1" x14ac:dyDescent="0.3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40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7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40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40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40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1"/>
      <c r="B431" s="402"/>
      <c r="C431" s="402"/>
      <c r="D431" s="403"/>
      <c r="E431" s="198"/>
      <c r="F431" s="195"/>
      <c r="G431" s="225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1"/>
      <c r="B432" s="402"/>
      <c r="C432" s="402"/>
      <c r="D432" s="403"/>
      <c r="E432" s="198"/>
      <c r="F432" s="195"/>
      <c r="G432" s="225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54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IFERROR(__xludf.DUMMYFUNCTION("IMPORTRANGE(""https://docs.google.com/spreadsheets/d/11923uPwbBZFjjGgGUA6NLw09EwE0CqkOc4q9oUmW1yo/edit?usp=sharing"",""พิจิตร!M330"")"),68866)</f>
        <v>68866</v>
      </c>
      <c r="O435" s="411">
        <f t="shared" ref="O435:O439" ca="1" si="114">+IF(L435&gt;0,N435*100/L435,0)</f>
        <v>64.967924528301893</v>
      </c>
      <c r="P435" s="411"/>
    </row>
    <row r="436" spans="1:16" ht="21.75" customHeight="1" x14ac:dyDescent="0.35">
      <c r="A436" s="157"/>
      <c r="B436" s="158"/>
      <c r="C436" s="158" t="s">
        <v>16</v>
      </c>
      <c r="D436" s="277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IFERROR(__xludf.DUMMYFUNCTION("IMPORTRANGE(""https://docs.google.com/spreadsheets/d/11923uPwbBZFjjGgGUA6NLw09EwE0CqkOc4q9oUmW1yo/edit?usp=sharing"",""พิจิตร!M332"")"),68866)</f>
        <v>68866</v>
      </c>
      <c r="O437" s="168">
        <f t="shared" ca="1" si="114"/>
        <v>64.967924528301893</v>
      </c>
      <c r="P437" s="168"/>
    </row>
    <row r="438" spans="1:16" ht="21.75" customHeight="1" x14ac:dyDescent="0.3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IFERROR(__xludf.DUMMYFUNCTION("IMPORTRANGE(""https://docs.google.com/spreadsheets/d/11923uPwbBZFjjGgGUA6NLw09EwE0CqkOc4q9oUmW1yo/edit?usp=sharing"",""พิจิตร!M334"")"),68866)</f>
        <v>68866</v>
      </c>
      <c r="O439" s="168">
        <f t="shared" ca="1" si="114"/>
        <v>64.967924528301893</v>
      </c>
      <c r="P439" s="168"/>
    </row>
    <row r="440" spans="1:16" ht="21.75" customHeight="1" x14ac:dyDescent="0.3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3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3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3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3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3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3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3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IFERROR(__xludf.DUMMYFUNCTION("IMPORTRANGE(""https://docs.google.com/spreadsheets/d/11923uPwbBZFjjGgGUA6NLw09EwE0CqkOc4q9oUmW1yo/edit?usp=sharing"",""พิจิตร!M338"")"),36675)</f>
        <v>36675</v>
      </c>
      <c r="O443" s="168"/>
      <c r="P443" s="168"/>
    </row>
    <row r="444" spans="1:16" ht="21.75" customHeight="1" x14ac:dyDescent="0.3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40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80" t="s">
        <v>163</v>
      </c>
      <c r="H451" s="186" t="s">
        <v>37</v>
      </c>
      <c r="I451" s="340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54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IFERROR(__xludf.DUMMYFUNCTION("IMPORTRANGE(""https://docs.google.com/spreadsheets/d/11923uPwbBZFjjGgGUA6NLw09EwE0CqkOc4q9oUmW1yo/edit?usp=sharing"",""พิจิตร!L350"")"),576236.82)</f>
        <v>576236.81999999995</v>
      </c>
      <c r="M455" s="372"/>
      <c r="N455" s="372">
        <f ca="1">IFERROR(__xludf.DUMMYFUNCTION("IMPORTRANGE(""https://docs.google.com/spreadsheets/d/11923uPwbBZFjjGgGUA6NLw09EwE0CqkOc4q9oUmW1yo/edit?usp=sharing"",""พิจิตร!M350"")"),99996.78)</f>
        <v>99996.78</v>
      </c>
      <c r="O455" s="372">
        <f t="shared" ref="O455:O459" ca="1" si="116">+IF(L455&gt;0,N455*100/L455,0)</f>
        <v>17.353417298117119</v>
      </c>
      <c r="P455" s="372"/>
    </row>
    <row r="456" spans="1:16" ht="21.75" customHeight="1" x14ac:dyDescent="0.35">
      <c r="A456" s="157"/>
      <c r="B456" s="158"/>
      <c r="C456" s="158" t="s">
        <v>16</v>
      </c>
      <c r="D456" s="277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IFERROR(__xludf.DUMMYFUNCTION("IMPORTRANGE(""https://docs.google.com/spreadsheets/d/11923uPwbBZFjjGgGUA6NLw09EwE0CqkOc4q9oUmW1yo/edit?usp=sharing"",""พิจิตร!L352"")"),576236.82)</f>
        <v>576236.81999999995</v>
      </c>
      <c r="M457" s="165"/>
      <c r="N457" s="168">
        <f ca="1">IFERROR(__xludf.DUMMYFUNCTION("IMPORTRANGE(""https://docs.google.com/spreadsheets/d/11923uPwbBZFjjGgGUA6NLw09EwE0CqkOc4q9oUmW1yo/edit?usp=sharing"",""พิจิตร!M352"")"),99996.78)</f>
        <v>99996.78</v>
      </c>
      <c r="O457" s="168">
        <f t="shared" ca="1" si="116"/>
        <v>17.353417298117119</v>
      </c>
      <c r="P457" s="168"/>
    </row>
    <row r="458" spans="1:16" ht="21.75" customHeight="1" x14ac:dyDescent="0.3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IFERROR(__xludf.DUMMYFUNCTION("IMPORTRANGE(""https://docs.google.com/spreadsheets/d/11923uPwbBZFjjGgGUA6NLw09EwE0CqkOc4q9oUmW1yo/edit?usp=sharing"",""พิจิตร!L354"")"),576236.82)</f>
        <v>576236.81999999995</v>
      </c>
      <c r="M459" s="168"/>
      <c r="N459" s="168">
        <f ca="1">IFERROR(__xludf.DUMMYFUNCTION("IMPORTRANGE(""https://docs.google.com/spreadsheets/d/11923uPwbBZFjjGgGUA6NLw09EwE0CqkOc4q9oUmW1yo/edit?usp=sharing"",""พิจิตร!M354"")"),99996.78)</f>
        <v>99996.78</v>
      </c>
      <c r="O459" s="168">
        <f t="shared" ca="1" si="116"/>
        <v>17.353417298117119</v>
      </c>
      <c r="P459" s="168"/>
    </row>
    <row r="460" spans="1:16" ht="21.75" customHeight="1" x14ac:dyDescent="0.3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3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3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3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IFERROR(__xludf.DUMMYFUNCTION("IMPORTRANGE(""https://docs.google.com/spreadsheets/d/11923uPwbBZFjjGgGUA6NLw09EwE0CqkOc4q9oUmW1yo/edit?usp=sharing"",""พิจิตร!M357"")"),48346.78)</f>
        <v>48346.78</v>
      </c>
      <c r="O462" s="168"/>
      <c r="P462" s="168"/>
    </row>
    <row r="463" spans="1:16" ht="21.75" customHeight="1" x14ac:dyDescent="0.3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3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IFERROR(__xludf.DUMMYFUNCTION("IMPORTRANGE(""https://docs.google.com/spreadsheets/d/11923uPwbBZFjjGgGUA6NLw09EwE0CqkOc4q9oUmW1yo/edit?usp=sharing"",""พิจิตร!M358"")"),51650)</f>
        <v>51650</v>
      </c>
      <c r="O463" s="168"/>
      <c r="P463" s="168"/>
    </row>
    <row r="464" spans="1:16" ht="21.75" customHeight="1" x14ac:dyDescent="0.35">
      <c r="A464" s="175"/>
      <c r="B464" s="176"/>
      <c r="C464" s="415" t="s">
        <v>166</v>
      </c>
      <c r="D464" s="415"/>
      <c r="E464" s="416"/>
      <c r="F464" s="416"/>
      <c r="G464" s="417"/>
      <c r="H464" s="265" t="s">
        <v>122</v>
      </c>
      <c r="I464" s="266">
        <f ca="1">IFERROR(__xludf.DUMMYFUNCTION("IMPORTRANGE(""https://docs.google.com/spreadsheets/d/11923uPwbBZFjjGgGUA6NLw09EwE0CqkOc4q9oUmW1yo/edit?usp=sharing"",""พิจิตร!I359"")"),77223)</f>
        <v>77223</v>
      </c>
      <c r="J464" s="266">
        <f ca="1">IFERROR(__xludf.DUMMYFUNCTION("IMPORTRANGE(""https://docs.google.com/spreadsheets/d/11923uPwbBZFjjGgGUA6NLw09EwE0CqkOc4q9oUmW1yo/edit?usp=sharing"",""พิจิตร!J359"")"),77224)</f>
        <v>77224</v>
      </c>
      <c r="K464" s="267">
        <f t="shared" ref="K464:K515" ca="1" si="117">IF(I464&gt;0,J464*100/I464,0)</f>
        <v>100.00129495098611</v>
      </c>
      <c r="L464" s="291"/>
      <c r="M464" s="291"/>
      <c r="N464" s="291"/>
      <c r="O464" s="291"/>
      <c r="P464" s="291"/>
    </row>
    <row r="465" spans="1:16" ht="21.75" customHeight="1" x14ac:dyDescent="0.3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3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1"/>
      <c r="B473" s="402"/>
      <c r="C473" s="402"/>
      <c r="D473" s="403"/>
      <c r="E473" s="290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3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3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7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7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6">
        <f ca="1">IFERROR(__xludf.DUMMYFUNCTION("IMPORTRANGE(""https://docs.google.com/spreadsheets/d/11923uPwbBZFjjGgGUA6NLw09EwE0CqkOc4q9oUmW1yo/edit?usp=sharing"",""พิจิตร!I411"")"),0)</f>
        <v>0</v>
      </c>
      <c r="J516" s="266">
        <f ca="1">IFERROR(__xludf.DUMMYFUNCTION("IMPORTRANGE(""https://docs.google.com/spreadsheets/d/11923uPwbBZFjjGgGUA6NLw09EwE0CqkOc4q9oUmW1yo/edit?usp=sharing"",""พิจิตร!J411"")"),0)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3">
        <f ca="1">IFERROR(__xludf.DUMMYFUNCTION("IMPORTRANGE(""https://docs.google.com/spreadsheets/d/11923uPwbBZFjjGgGUA6NLw09EwE0CqkOc4q9oUmW1yo/edit?usp=sharing"",""พิจิตร!I412"")"),0)</f>
        <v>0</v>
      </c>
      <c r="J517" s="283">
        <f ca="1">IFERROR(__xludf.DUMMYFUNCTION("IMPORTRANGE(""https://docs.google.com/spreadsheets/d/11923uPwbBZFjjGgGUA6NLw09EwE0CqkOc4q9oUmW1yo/edit?usp=sharing"",""พิจิตร!J412"")"),0)</f>
        <v>0</v>
      </c>
      <c r="K517" s="284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3">
        <f ca="1">IFERROR(__xludf.DUMMYFUNCTION("IMPORTRANGE(""https://docs.google.com/spreadsheets/d/11923uPwbBZFjjGgGUA6NLw09EwE0CqkOc4q9oUmW1yo/edit?usp=sharing"",""พิจิตร!I413"")"),0)</f>
        <v>0</v>
      </c>
      <c r="J518" s="283">
        <f ca="1">IFERROR(__xludf.DUMMYFUNCTION("IMPORTRANGE(""https://docs.google.com/spreadsheets/d/11923uPwbBZFjjGgGUA6NLw09EwE0CqkOc4q9oUmW1yo/edit?usp=sharing"",""พิจิตร!J413"")"),0)</f>
        <v>0</v>
      </c>
      <c r="K518" s="284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3">
        <f ca="1">IFERROR(__xludf.DUMMYFUNCTION("IMPORTRANGE(""https://docs.google.com/spreadsheets/d/11923uPwbBZFjjGgGUA6NLw09EwE0CqkOc4q9oUmW1yo/edit?usp=sharing"",""พิจิตร!I420"")"),106)</f>
        <v>106</v>
      </c>
      <c r="J525" s="283">
        <f ca="1">IFERROR(__xludf.DUMMYFUNCTION("IMPORTRANGE(""https://docs.google.com/spreadsheets/d/11923uPwbBZFjjGgGUA6NLw09EwE0CqkOc4q9oUmW1yo/edit?usp=sharing"",""พิจิตร!J420"")"),0)</f>
        <v>0</v>
      </c>
      <c r="K525" s="284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3">
        <f ca="1">IFERROR(__xludf.DUMMYFUNCTION("IMPORTRANGE(""https://docs.google.com/spreadsheets/d/11923uPwbBZFjjGgGUA6NLw09EwE0CqkOc4q9oUmW1yo/edit?usp=sharing"",""พิจิตร!I421"")"),30)</f>
        <v>30</v>
      </c>
      <c r="J526" s="283">
        <f ca="1">IFERROR(__xludf.DUMMYFUNCTION("IMPORTRANGE(""https://docs.google.com/spreadsheets/d/11923uPwbBZFjjGgGUA6NLw09EwE0CqkOc4q9oUmW1yo/edit?usp=sharing"",""พิจิตร!J421"")"),0)</f>
        <v>0</v>
      </c>
      <c r="K526" s="284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35">
      <c r="A534" s="157"/>
      <c r="B534" s="158"/>
      <c r="C534" s="158" t="s">
        <v>16</v>
      </c>
      <c r="D534" s="277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3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3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3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3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3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3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3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3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3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3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40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35">
      <c r="A552" s="157"/>
      <c r="B552" s="158"/>
      <c r="C552" s="158" t="s">
        <v>16</v>
      </c>
      <c r="D552" s="277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3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3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3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8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3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3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IFERROR(__xludf.DUMMYFUNCTION("IMPORTRANGE(""https://docs.google.com/spreadsheets/d/11923uPwbBZFjjGgGUA6NLw09EwE0CqkOc4q9oUmW1yo/edit?usp=sharing"",""พิจิตร!J459"")"),821)</f>
        <v>821</v>
      </c>
      <c r="K564" s="371">
        <f ca="1">IF(I564&gt;0,J564*100/I564,0)</f>
        <v>74.63636363636364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IFERROR(__xludf.DUMMYFUNCTION("IMPORTRANGE(""https://docs.google.com/spreadsheets/d/11923uPwbBZFjjGgGUA6NLw09EwE0CqkOc4q9oUmW1yo/edit?usp=sharing"",""พิจิตร!M459"")"),52356.19)</f>
        <v>52356.19</v>
      </c>
      <c r="O564" s="372">
        <f t="shared" ref="O564:O568" ca="1" si="122">+IF(L564&gt;0,N564*100/L564,0)</f>
        <v>41.52616592639594</v>
      </c>
      <c r="P564" s="372"/>
    </row>
    <row r="565" spans="1:16" ht="21.75" customHeight="1" x14ac:dyDescent="0.35">
      <c r="A565" s="157"/>
      <c r="B565" s="158"/>
      <c r="C565" s="158" t="s">
        <v>16</v>
      </c>
      <c r="D565" s="277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IFERROR(__xludf.DUMMYFUNCTION("IMPORTRANGE(""https://docs.google.com/spreadsheets/d/11923uPwbBZFjjGgGUA6NLw09EwE0CqkOc4q9oUmW1yo/edit?usp=sharing"",""พิจิตร!M461"")"),52356.19)</f>
        <v>52356.19</v>
      </c>
      <c r="O566" s="168">
        <f t="shared" ca="1" si="122"/>
        <v>41.52616592639594</v>
      </c>
      <c r="P566" s="168"/>
    </row>
    <row r="567" spans="1:16" ht="21.75" customHeight="1" x14ac:dyDescent="0.3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IFERROR(__xludf.DUMMYFUNCTION("IMPORTRANGE(""https://docs.google.com/spreadsheets/d/11923uPwbBZFjjGgGUA6NLw09EwE0CqkOc4q9oUmW1yo/edit?usp=sharing"",""พิจิตร!M463"")"),52356.19)</f>
        <v>52356.19</v>
      </c>
      <c r="O568" s="168">
        <f t="shared" ca="1" si="122"/>
        <v>41.52616592639594</v>
      </c>
      <c r="P568" s="168"/>
    </row>
    <row r="569" spans="1:16" ht="21.75" customHeight="1" x14ac:dyDescent="0.3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3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3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3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IFERROR(__xludf.DUMMYFUNCTION("IMPORTRANGE(""https://docs.google.com/spreadsheets/d/11923uPwbBZFjjGgGUA6NLw09EwE0CqkOc4q9oUmW1yo/edit?usp=sharing"",""พิจิตร!M466"")"),46330.19)</f>
        <v>46330.19</v>
      </c>
      <c r="O571" s="168"/>
      <c r="P571" s="168"/>
    </row>
    <row r="572" spans="1:16" ht="21.75" customHeight="1" x14ac:dyDescent="0.3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3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IFERROR(__xludf.DUMMYFUNCTION("IMPORTRANGE(""https://docs.google.com/spreadsheets/d/11923uPwbBZFjjGgGUA6NLw09EwE0CqkOc4q9oUmW1yo/edit?usp=sharing"",""พิจิตร!M467"")"),6026)</f>
        <v>6026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39</v>
      </c>
      <c r="F573" s="413" t="s">
        <v>209</v>
      </c>
      <c r="G573" s="387"/>
      <c r="H573" s="476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IFERROR(__xludf.DUMMYFUNCTION("IMPORTRANGE(""https://docs.google.com/spreadsheets/d/11923uPwbBZFjjGgGUA6NLw09EwE0CqkOc4q9oUmW1yo/edit?usp=sharing"",""พิจิตร!J468"")"),821)</f>
        <v>821</v>
      </c>
      <c r="K573" s="201">
        <f ca="1">IF(I573&gt;0,J573*100/I573,0)</f>
        <v>74.63636363636364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IFERROR(__xludf.DUMMYFUNCTION("IMPORTRANGE(""https://docs.google.com/spreadsheets/d/11923uPwbBZFjjGgGUA6NLw09EwE0CqkOc4q9oUmW1yo/edit?usp=sharing"",""พิจิตร!J471"")"),95)</f>
        <v>95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IFERROR(__xludf.DUMMYFUNCTION("IMPORTRANGE(""https://docs.google.com/spreadsheets/d/11923uPwbBZFjjGgGUA6NLw09EwE0CqkOc4q9oUmW1yo/edit?usp=sharing"",""พิจิตร!J472"")"),726)</f>
        <v>726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5"/>
      <c r="B580" s="366">
        <v>9</v>
      </c>
      <c r="C580" s="477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IFERROR(__xludf.DUMMYFUNCTION("IMPORTRANGE(""https://docs.google.com/spreadsheets/d/11923uPwbBZFjjGgGUA6NLw09EwE0CqkOc4q9oUmW1yo/edit?usp=sharing"",""พิจิตร!J475"")"),21)</f>
        <v>21</v>
      </c>
      <c r="K580" s="371">
        <f ca="1">IF(I580&gt;0,J580*100/I580,0)</f>
        <v>10.5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IFERROR(__xludf.DUMMYFUNCTION("IMPORTRANGE(""https://docs.google.com/spreadsheets/d/11923uPwbBZFjjGgGUA6NLw09EwE0CqkOc4q9oUmW1yo/edit?usp=sharing"",""พิจิตร!M475"")"),88961.9599999999)</f>
        <v>88961.959999999905</v>
      </c>
      <c r="O580" s="372">
        <f t="shared" ref="O580:O584" ca="1" si="124">+IF(L580&gt;0,N580*100/L580,0)</f>
        <v>25.244597048808146</v>
      </c>
      <c r="P580" s="372"/>
    </row>
    <row r="581" spans="1:16" ht="21.75" customHeight="1" x14ac:dyDescent="0.35">
      <c r="A581" s="157"/>
      <c r="B581" s="158"/>
      <c r="C581" s="158" t="s">
        <v>16</v>
      </c>
      <c r="D581" s="277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IFERROR(__xludf.DUMMYFUNCTION("IMPORTRANGE(""https://docs.google.com/spreadsheets/d/11923uPwbBZFjjGgGUA6NLw09EwE0CqkOc4q9oUmW1yo/edit?usp=sharing"",""พิจิตร!M477"")"),88961.9599999999)</f>
        <v>88961.959999999905</v>
      </c>
      <c r="O582" s="168">
        <f t="shared" ca="1" si="124"/>
        <v>25.244597048808146</v>
      </c>
      <c r="P582" s="168"/>
    </row>
    <row r="583" spans="1:16" ht="21.75" customHeight="1" x14ac:dyDescent="0.3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IFERROR(__xludf.DUMMYFUNCTION("IMPORTRANGE(""https://docs.google.com/spreadsheets/d/11923uPwbBZFjjGgGUA6NLw09EwE0CqkOc4q9oUmW1yo/edit?usp=sharing"",""พิจิตร!M479"")"),88961.9599999999)</f>
        <v>88961.959999999905</v>
      </c>
      <c r="O584" s="168">
        <f t="shared" ca="1" si="124"/>
        <v>25.244597048808146</v>
      </c>
      <c r="P584" s="168"/>
    </row>
    <row r="585" spans="1:16" ht="21.75" customHeight="1" x14ac:dyDescent="0.3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3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3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IFERROR(__xludf.DUMMYFUNCTION("IMPORTRANGE(""https://docs.google.com/spreadsheets/d/11923uPwbBZFjjGgGUA6NLw09EwE0CqkOc4q9oUmW1yo/edit?usp=sharing"",""พิจิตร!M482"")"),50741.96)</f>
        <v>50741.96</v>
      </c>
      <c r="O587" s="168"/>
      <c r="P587" s="168"/>
    </row>
    <row r="588" spans="1:16" ht="21.75" customHeight="1" x14ac:dyDescent="0.3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IFERROR(__xludf.DUMMYFUNCTION("IMPORTRANGE(""https://docs.google.com/spreadsheets/d/11923uPwbBZFjjGgGUA6NLw09EwE0CqkOc4q9oUmW1yo/edit?usp=sharing"",""พิจิตร!M483"")"),38220)</f>
        <v>38220</v>
      </c>
      <c r="O588" s="168"/>
      <c r="P588" s="168"/>
    </row>
    <row r="589" spans="1:16" ht="21.75" customHeight="1" x14ac:dyDescent="0.35">
      <c r="A589" s="478"/>
      <c r="B589" s="166"/>
      <c r="C589" s="158"/>
      <c r="D589" s="290"/>
      <c r="E589" s="194" t="s">
        <v>217</v>
      </c>
      <c r="F589" s="195"/>
      <c r="G589" s="196"/>
      <c r="H589" s="180" t="s">
        <v>36</v>
      </c>
      <c r="I589" s="340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IFERROR(__xludf.DUMMYFUNCTION("IMPORTRANGE(""https://docs.google.com/spreadsheets/d/11923uPwbBZFjjGgGUA6NLw09EwE0CqkOc4q9oUmW1yo/edit?usp=sharing"",""พิจิตร!J484"")"),159)</f>
        <v>159</v>
      </c>
      <c r="K589" s="163">
        <f t="shared" ref="K589:K596" ca="1" si="125">IF(I589&gt;0,J589*100/I589,0)</f>
        <v>79.5</v>
      </c>
      <c r="L589" s="181"/>
      <c r="M589" s="181"/>
      <c r="N589" s="168"/>
      <c r="O589" s="181"/>
      <c r="P589" s="181"/>
    </row>
    <row r="590" spans="1:16" ht="21.75" customHeight="1" x14ac:dyDescent="0.35">
      <c r="A590" s="478"/>
      <c r="B590" s="166"/>
      <c r="C590" s="158"/>
      <c r="D590" s="290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IFERROR(__xludf.DUMMYFUNCTION("IMPORTRANGE(""https://docs.google.com/spreadsheets/d/11923uPwbBZFjjGgGUA6NLw09EwE0CqkOc4q9oUmW1yo/edit?usp=sharing"",""พิจิตร!J485"")"),97.42)</f>
        <v>97.42</v>
      </c>
      <c r="K590" s="479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8"/>
      <c r="B591" s="166"/>
      <c r="C591" s="158"/>
      <c r="D591" s="290"/>
      <c r="E591" s="194" t="s">
        <v>123</v>
      </c>
      <c r="F591" s="195"/>
      <c r="G591" s="196"/>
      <c r="H591" s="180" t="s">
        <v>37</v>
      </c>
      <c r="I591" s="340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IFERROR(__xludf.DUMMYFUNCTION("IMPORTRANGE(""https://docs.google.com/spreadsheets/d/11923uPwbBZFjjGgGUA6NLw09EwE0CqkOc4q9oUmW1yo/edit?usp=sharing"",""พิจิตร!J486"")"),6)</f>
        <v>6</v>
      </c>
      <c r="K591" s="163">
        <f t="shared" ca="1" si="125"/>
        <v>3</v>
      </c>
      <c r="L591" s="181"/>
      <c r="M591" s="181"/>
      <c r="N591" s="181"/>
      <c r="O591" s="181"/>
      <c r="P591" s="181"/>
    </row>
    <row r="592" spans="1:16" ht="21.75" customHeight="1" x14ac:dyDescent="0.35">
      <c r="A592" s="478"/>
      <c r="B592" s="166"/>
      <c r="C592" s="158"/>
      <c r="D592" s="290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IFERROR(__xludf.DUMMYFUNCTION("IMPORTRANGE(""https://docs.google.com/spreadsheets/d/11923uPwbBZFjjGgGUA6NLw09EwE0CqkOc4q9oUmW1yo/edit?usp=sharing"",""พิจิตร!J487"")"),8.53)</f>
        <v>8.5299999999999994</v>
      </c>
      <c r="K592" s="341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8"/>
      <c r="B593" s="166"/>
      <c r="C593" s="158"/>
      <c r="D593" s="290"/>
      <c r="E593" s="194" t="s">
        <v>124</v>
      </c>
      <c r="F593" s="195"/>
      <c r="G593" s="196"/>
      <c r="H593" s="180" t="s">
        <v>37</v>
      </c>
      <c r="I593" s="340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8"/>
      <c r="B594" s="166"/>
      <c r="C594" s="158"/>
      <c r="D594" s="290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1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8"/>
      <c r="B595" s="166"/>
      <c r="C595" s="158"/>
      <c r="D595" s="290"/>
      <c r="E595" s="194" t="s">
        <v>125</v>
      </c>
      <c r="F595" s="195"/>
      <c r="G595" s="196"/>
      <c r="H595" s="180" t="s">
        <v>37</v>
      </c>
      <c r="I595" s="340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IFERROR(__xludf.DUMMYFUNCTION("IMPORTRANGE(""https://docs.google.com/spreadsheets/d/11923uPwbBZFjjGgGUA6NLw09EwE0CqkOc4q9oUmW1yo/edit?usp=sharing"",""พิจิตร!J490"")"),21)</f>
        <v>21</v>
      </c>
      <c r="K595" s="163">
        <f t="shared" ca="1" si="125"/>
        <v>10.5</v>
      </c>
      <c r="L595" s="181"/>
      <c r="M595" s="181"/>
      <c r="N595" s="181"/>
      <c r="O595" s="181"/>
      <c r="P595" s="181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IFERROR(__xludf.DUMMYFUNCTION("IMPORTRANGE(""https://docs.google.com/spreadsheets/d/11923uPwbBZFjjGgGUA6NLw09EwE0CqkOc4q9oUmW1yo/edit?usp=sharing"",""พิจิตร!I491"")"),0)</f>
        <v>0</v>
      </c>
      <c r="J596" s="240">
        <f ca="1">IFERROR(__xludf.DUMMYFUNCTION("IMPORTRANGE(""https://docs.google.com/spreadsheets/d/11923uPwbBZFjjGgGUA6NLw09EwE0CqkOc4q9oUmW1yo/edit?usp=sharing"",""พิจิตร!J491"")"),15.26)</f>
        <v>15.26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7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IFERROR(__xludf.DUMMYFUNCTION("IMPORTRANGE(""https://docs.google.com/spreadsheets/d/11923uPwbBZFjjGgGUA6NLw09EwE0CqkOc4q9oUmW1yo/edit?usp=sharing"",""พิจิตร!M492"")"),1394)</f>
        <v>1394</v>
      </c>
      <c r="O597" s="411">
        <f t="shared" ref="O597:O601" ca="1" si="126">+IF(L597&gt;0,N597*100/L597,0)</f>
        <v>30.637362637362639</v>
      </c>
      <c r="P597" s="411"/>
    </row>
    <row r="598" spans="1:16" ht="21.75" customHeight="1" x14ac:dyDescent="0.35">
      <c r="A598" s="157"/>
      <c r="B598" s="158"/>
      <c r="C598" s="158" t="s">
        <v>16</v>
      </c>
      <c r="D598" s="277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IFERROR(__xludf.DUMMYFUNCTION("IMPORTRANGE(""https://docs.google.com/spreadsheets/d/11923uPwbBZFjjGgGUA6NLw09EwE0CqkOc4q9oUmW1yo/edit?usp=sharing"",""พิจิตร!M494"")"),1394)</f>
        <v>1394</v>
      </c>
      <c r="O599" s="168">
        <f t="shared" ca="1" si="126"/>
        <v>30.637362637362639</v>
      </c>
      <c r="P599" s="168"/>
    </row>
    <row r="600" spans="1:16" ht="21.75" customHeight="1" x14ac:dyDescent="0.3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IFERROR(__xludf.DUMMYFUNCTION("IMPORTRANGE(""https://docs.google.com/spreadsheets/d/11923uPwbBZFjjGgGUA6NLw09EwE0CqkOc4q9oUmW1yo/edit?usp=sharing"",""พิจิตร!M496"")"),1394)</f>
        <v>1394</v>
      </c>
      <c r="O601" s="168">
        <f t="shared" ca="1" si="126"/>
        <v>30.637362637362639</v>
      </c>
      <c r="P601" s="168"/>
    </row>
    <row r="602" spans="1:16" ht="21.75" customHeight="1" x14ac:dyDescent="0.3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3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3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3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3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3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IFERROR(__xludf.DUMMYFUNCTION("IMPORTRANGE(""https://docs.google.com/spreadsheets/d/11923uPwbBZFjjGgGUA6NLw09EwE0CqkOc4q9oUmW1yo/edit?usp=sharing"",""พิจิตร!M500"")"),1394)</f>
        <v>1394</v>
      </c>
      <c r="O605" s="168"/>
      <c r="P605" s="168"/>
    </row>
    <row r="606" spans="1:16" ht="21.75" customHeight="1" x14ac:dyDescent="0.3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35">
      <c r="A609" s="374"/>
      <c r="B609" s="375"/>
      <c r="C609" s="375"/>
      <c r="D609" s="488"/>
      <c r="E609" s="489" t="s">
        <v>46</v>
      </c>
      <c r="F609" s="490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4"/>
      <c r="B610" s="375"/>
      <c r="C610" s="375"/>
      <c r="D610" s="488"/>
      <c r="E610" s="489" t="s">
        <v>47</v>
      </c>
      <c r="F610" s="490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91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91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91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91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91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91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8"/>
      <c r="D628" s="166"/>
      <c r="E628" s="159"/>
      <c r="F628" s="159"/>
      <c r="G628" s="160"/>
      <c r="H628" s="500" t="s">
        <v>12</v>
      </c>
      <c r="I628" s="340">
        <f ca="1">IFERROR(__xludf.DUMMYFUNCTION("IMPORTRANGE(""https://docs.google.com/spreadsheets/d/11923uPwbBZFjjGgGUA6NLw09EwE0CqkOc4q9oUmW1yo/edit?usp=sharing"",""พิจิตร!I523"")"),2520250)</f>
        <v>2520250</v>
      </c>
      <c r="J628" s="340">
        <f ca="1">IFERROR(__xludf.DUMMYFUNCTION("IMPORTRANGE(""https://docs.google.com/spreadsheets/d/11923uPwbBZFjjGgGUA6NLw09EwE0CqkOc4q9oUmW1yo/edit?usp=sharing"",""พิจิตร!J523"")"),490000)</f>
        <v>490000</v>
      </c>
      <c r="K628" s="341">
        <f t="shared" ref="K628:K635" ca="1" si="129">IF(I628&gt;0,J628*100/I628,0)</f>
        <v>19.442515623450056</v>
      </c>
      <c r="L628" s="341"/>
      <c r="M628" s="341"/>
      <c r="N628" s="341"/>
      <c r="O628" s="168"/>
      <c r="P628" s="168"/>
    </row>
    <row r="629" spans="1:16" ht="21.75" customHeight="1" x14ac:dyDescent="0.35">
      <c r="A629" s="478"/>
      <c r="B629" s="158"/>
      <c r="C629" s="158"/>
      <c r="D629" s="166"/>
      <c r="E629" s="159"/>
      <c r="F629" s="159"/>
      <c r="G629" s="160"/>
      <c r="H629" s="500" t="s">
        <v>37</v>
      </c>
      <c r="I629" s="340">
        <f ca="1">IFERROR(__xludf.DUMMYFUNCTION("IMPORTRANGE(""https://docs.google.com/spreadsheets/d/11923uPwbBZFjjGgGUA6NLw09EwE0CqkOc4q9oUmW1yo/edit?usp=sharing"",""พิจิตร!I524"")"),93)</f>
        <v>93</v>
      </c>
      <c r="J629" s="340">
        <f ca="1">IFERROR(__xludf.DUMMYFUNCTION("IMPORTRANGE(""https://docs.google.com/spreadsheets/d/11923uPwbBZFjjGgGUA6NLw09EwE0CqkOc4q9oUmW1yo/edit?usp=sharing"",""พิจิตร!J524"")"),17)</f>
        <v>17</v>
      </c>
      <c r="K629" s="341">
        <f t="shared" ca="1" si="129"/>
        <v>18.27956989247312</v>
      </c>
      <c r="L629" s="341"/>
      <c r="M629" s="341"/>
      <c r="N629" s="341"/>
      <c r="O629" s="168"/>
      <c r="P629" s="168"/>
    </row>
    <row r="630" spans="1:16" ht="21.75" customHeight="1" x14ac:dyDescent="0.35">
      <c r="A630" s="478"/>
      <c r="B630" s="499" t="s">
        <v>234</v>
      </c>
      <c r="C630" s="158"/>
      <c r="D630" s="166"/>
      <c r="E630" s="159"/>
      <c r="F630" s="159"/>
      <c r="G630" s="160"/>
      <c r="H630" s="500" t="s">
        <v>12</v>
      </c>
      <c r="I630" s="340">
        <f ca="1">IFERROR(__xludf.DUMMYFUNCTION("IMPORTRANGE(""https://docs.google.com/spreadsheets/d/11923uPwbBZFjjGgGUA6NLw09EwE0CqkOc4q9oUmW1yo/edit?usp=sharing"",""พิจิตร!I525"")"),510790.7)</f>
        <v>510790.7</v>
      </c>
      <c r="J630" s="340">
        <f ca="1">IFERROR(__xludf.DUMMYFUNCTION("IMPORTRANGE(""https://docs.google.com/spreadsheets/d/11923uPwbBZFjjGgGUA6NLw09EwE0CqkOc4q9oUmW1yo/edit?usp=sharing"",""พิจิตร!J525"")"),47727.54)</f>
        <v>47727.54</v>
      </c>
      <c r="K630" s="341">
        <f t="shared" ca="1" si="129"/>
        <v>9.3438545376805013</v>
      </c>
      <c r="L630" s="341"/>
      <c r="M630" s="341"/>
      <c r="N630" s="341"/>
      <c r="O630" s="168"/>
      <c r="P630" s="168"/>
    </row>
    <row r="631" spans="1:16" ht="21.75" customHeight="1" x14ac:dyDescent="0.35">
      <c r="A631" s="478"/>
      <c r="B631" s="158"/>
      <c r="C631" s="158"/>
      <c r="D631" s="166"/>
      <c r="E631" s="159"/>
      <c r="F631" s="159"/>
      <c r="G631" s="160"/>
      <c r="H631" s="500" t="s">
        <v>37</v>
      </c>
      <c r="I631" s="340">
        <f ca="1">IFERROR(__xludf.DUMMYFUNCTION("IMPORTRANGE(""https://docs.google.com/spreadsheets/d/11923uPwbBZFjjGgGUA6NLw09EwE0CqkOc4q9oUmW1yo/edit?usp=sharing"",""พิจิตร!I526"")"),29)</f>
        <v>29</v>
      </c>
      <c r="J631" s="340">
        <f ca="1">IFERROR(__xludf.DUMMYFUNCTION("IMPORTRANGE(""https://docs.google.com/spreadsheets/d/11923uPwbBZFjjGgGUA6NLw09EwE0CqkOc4q9oUmW1yo/edit?usp=sharing"",""พิจิตร!J526"")"),13)</f>
        <v>13</v>
      </c>
      <c r="K631" s="341">
        <f t="shared" ca="1" si="129"/>
        <v>44.827586206896555</v>
      </c>
      <c r="L631" s="341"/>
      <c r="M631" s="341"/>
      <c r="N631" s="341"/>
      <c r="O631" s="168"/>
      <c r="P631" s="168"/>
    </row>
    <row r="632" spans="1:16" ht="21.75" customHeight="1" x14ac:dyDescent="0.35">
      <c r="A632" s="478"/>
      <c r="B632" s="499" t="s">
        <v>235</v>
      </c>
      <c r="C632" s="158"/>
      <c r="D632" s="166"/>
      <c r="E632" s="159"/>
      <c r="F632" s="159"/>
      <c r="G632" s="160"/>
      <c r="H632" s="500" t="s">
        <v>12</v>
      </c>
      <c r="I632" s="340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0">
        <f ca="1">IFERROR(__xludf.DUMMYFUNCTION("IMPORTRANGE(""https://docs.google.com/spreadsheets/d/11923uPwbBZFjjGgGUA6NLw09EwE0CqkOc4q9oUmW1yo/edit?usp=sharing"",""พิจิตร!J527"")"),2350458.63)</f>
        <v>2350458.63</v>
      </c>
      <c r="K632" s="341">
        <f t="shared" ca="1" si="129"/>
        <v>38.275765845114719</v>
      </c>
      <c r="L632" s="341"/>
      <c r="M632" s="341"/>
      <c r="N632" s="341"/>
      <c r="O632" s="168"/>
      <c r="P632" s="168"/>
    </row>
    <row r="633" spans="1:16" ht="21.75" customHeight="1" x14ac:dyDescent="0.35">
      <c r="A633" s="478"/>
      <c r="B633" s="499"/>
      <c r="C633" s="158"/>
      <c r="D633" s="166"/>
      <c r="E633" s="159"/>
      <c r="F633" s="159"/>
      <c r="G633" s="160"/>
      <c r="H633" s="500" t="s">
        <v>37</v>
      </c>
      <c r="I633" s="340">
        <f ca="1">IFERROR(__xludf.DUMMYFUNCTION("IMPORTRANGE(""https://docs.google.com/spreadsheets/d/11923uPwbBZFjjGgGUA6NLw09EwE0CqkOc4q9oUmW1yo/edit?usp=sharing"",""พิจิตร!I528"")"),482)</f>
        <v>482</v>
      </c>
      <c r="J633" s="340">
        <f ca="1">IFERROR(__xludf.DUMMYFUNCTION("IMPORTRANGE(""https://docs.google.com/spreadsheets/d/11923uPwbBZFjjGgGUA6NLw09EwE0CqkOc4q9oUmW1yo/edit?usp=sharing"",""พิจิตร!J528"")"),331)</f>
        <v>331</v>
      </c>
      <c r="K633" s="341">
        <f t="shared" ca="1" si="129"/>
        <v>68.672199170124486</v>
      </c>
      <c r="L633" s="341"/>
      <c r="M633" s="341"/>
      <c r="N633" s="341"/>
      <c r="O633" s="168"/>
      <c r="P633" s="168"/>
    </row>
    <row r="634" spans="1:16" ht="21.75" customHeight="1" x14ac:dyDescent="0.35">
      <c r="A634" s="478"/>
      <c r="B634" s="499" t="s">
        <v>236</v>
      </c>
      <c r="C634" s="158"/>
      <c r="D634" s="166"/>
      <c r="E634" s="159"/>
      <c r="F634" s="159"/>
      <c r="G634" s="160"/>
      <c r="H634" s="500" t="s">
        <v>12</v>
      </c>
      <c r="I634" s="340">
        <f ca="1">IFERROR(__xludf.DUMMYFUNCTION("IMPORTRANGE(""https://docs.google.com/spreadsheets/d/11923uPwbBZFjjGgGUA6NLw09EwE0CqkOc4q9oUmW1yo/edit?usp=sharing"",""พิจิตร!I529"")"),2320000)</f>
        <v>2320000</v>
      </c>
      <c r="J634" s="340">
        <f ca="1">IFERROR(__xludf.DUMMYFUNCTION("IMPORTRANGE(""https://docs.google.com/spreadsheets/d/11923uPwbBZFjjGgGUA6NLw09EwE0CqkOc4q9oUmW1yo/edit?usp=sharing"",""พิจิตร!J529"")"),270000)</f>
        <v>270000</v>
      </c>
      <c r="K634" s="341">
        <f t="shared" ca="1" si="129"/>
        <v>11.637931034482758</v>
      </c>
      <c r="L634" s="341"/>
      <c r="M634" s="341"/>
      <c r="N634" s="341"/>
      <c r="O634" s="168"/>
      <c r="P634" s="168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IFERROR(__xludf.DUMMYFUNCTION("IMPORTRANGE(""https://docs.google.com/spreadsheets/d/11923uPwbBZFjjGgGUA6NLw09EwE0CqkOc4q9oUmW1yo/edit?usp=sharing"",""พิจิตร!I530"")"),87)</f>
        <v>87</v>
      </c>
      <c r="J635" s="504">
        <f ca="1">IFERROR(__xludf.DUMMYFUNCTION("IMPORTRANGE(""https://docs.google.com/spreadsheets/d/11923uPwbBZFjjGgGUA6NLw09EwE0CqkOc4q9oUmW1yo/edit?usp=sharing"",""พิจิตร!J530"")"),9)</f>
        <v>9</v>
      </c>
      <c r="K635" s="486">
        <f t="shared" ca="1" si="129"/>
        <v>10.344827586206897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253:F253"/>
    <mergeCell ref="D257:E257"/>
    <mergeCell ref="I5:K5"/>
    <mergeCell ref="L5:M5"/>
    <mergeCell ref="N5:P5"/>
    <mergeCell ref="A5:G6"/>
    <mergeCell ref="A7:G7"/>
    <mergeCell ref="D297:E297"/>
    <mergeCell ref="D310:G310"/>
    <mergeCell ref="D313:F313"/>
    <mergeCell ref="D317:E317"/>
    <mergeCell ref="H5:H6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เชียงใหม่!Print_Titles</vt:lpstr>
      <vt:lpstr>เชียงราย!Print_Titles</vt:lpstr>
      <vt:lpstr>เพชรบูรณ์!Print_Titles</vt:lpstr>
      <vt:lpstr>แพร่!Print_Titles</vt:lpstr>
      <vt:lpstr>แม่ฮ่องสอน!Print_Titles</vt:lpstr>
      <vt:lpstr>กำแพงเพชร!Print_Titles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2022-04-21T02:23:19Z</cp:lastPrinted>
  <dcterms:modified xsi:type="dcterms:W3CDTF">2022-04-21T02:26:36Z</dcterms:modified>
</cp:coreProperties>
</file>